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96" windowHeight="1040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<sst xmlns="http://schemas.openxmlformats.org/spreadsheetml/2006/main" count="3062" uniqueCount="9">
  <si>
    <t>2024年南阳市卧龙区公开招聘事业单位
工作人员笔试成绩</t>
  </si>
  <si>
    <t>准考证号</t>
  </si>
  <si>
    <t>笔试原始成绩</t>
  </si>
  <si>
    <t>加分</t>
  </si>
  <si>
    <t>笔试成绩</t>
  </si>
  <si>
    <t>加分项</t>
  </si>
  <si>
    <t>备注</t>
  </si>
  <si>
    <t>缺考</t>
  </si>
  <si>
    <t>退役大学生士兵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</si>
</sst>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71"/>
  <sheetViews>
    <sheetView tabSelected="1" workbookViewId="0">
      <selection activeCell="P8" sqref="P8"/>
    </sheetView>
  </sheetViews>
  <sheetFormatPr defaultColWidth="9" defaultRowHeight="20" customHeight="1" outlineLevelCol="5"/>
  <cols>
    <col min="1" max="1" width="16.0847457627119" style="1" customWidth="1"/>
    <col min="2" max="2" width="12.8728813559322" style="3" customWidth="1"/>
    <col min="3" max="3" width="7.65254237288136" style="1" customWidth="1"/>
    <col min="4" max="4" width="10.7627118644068" style="1" customWidth="1"/>
    <col min="5" max="5" width="13.0847457627119" style="4" customWidth="1"/>
    <col min="6" max="6" width="6.21186440677966" style="1" customWidth="1"/>
    <col min="7" max="16379" width="9" style="1"/>
    <col min="16380" max="16384" width="9" style="5"/>
  </cols>
  <sheetData>
    <row r="1" s="1" customFormat="1" ht="57" customHeight="1" spans="1:6">
      <c r="A1" s="6" t="s">
        <v>0</v>
      </c>
      <c r="B1" s="6"/>
      <c r="C1" s="6"/>
      <c r="D1" s="6"/>
      <c r="E1" s="6"/>
      <c r="F1" s="6"/>
    </row>
    <row r="2" s="2" customFormat="1" ht="36" customHeight="1" spans="1: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customHeight="1" spans="1:6">
      <c r="A3" s="9" t="str">
        <f>"10522100101"</f>
        <v>10522100101</v>
      </c>
      <c r="B3" s="10">
        <v>37.95</v>
      </c>
      <c r="C3" s="9"/>
      <c r="D3" s="9">
        <f t="shared" ref="D3:D66" si="0">SUM(B3:C3)</f>
        <v>37.95</v>
      </c>
      <c r="E3" s="11"/>
      <c r="F3" s="9"/>
    </row>
    <row r="4" s="1" customFormat="1" customHeight="1" spans="1:6">
      <c r="A4" s="9" t="str">
        <f>"10072100102"</f>
        <v>10072100102</v>
      </c>
      <c r="B4" s="10">
        <v>0</v>
      </c>
      <c r="C4" s="9"/>
      <c r="D4" s="9">
        <f t="shared" si="0"/>
        <v>0</v>
      </c>
      <c r="E4" s="11"/>
      <c r="F4" s="9" t="s">
        <v>7</v>
      </c>
    </row>
    <row r="5" s="1" customFormat="1" customHeight="1" spans="1:6">
      <c r="A5" s="9" t="str">
        <f>"10172100103"</f>
        <v>10172100103</v>
      </c>
      <c r="B5" s="10">
        <v>0</v>
      </c>
      <c r="C5" s="9"/>
      <c r="D5" s="9">
        <f t="shared" si="0"/>
        <v>0</v>
      </c>
      <c r="E5" s="11"/>
      <c r="F5" s="9" t="s">
        <v>7</v>
      </c>
    </row>
    <row r="6" s="1" customFormat="1" customHeight="1" spans="1:6">
      <c r="A6" s="9" t="str">
        <f>"10422100104"</f>
        <v>10422100104</v>
      </c>
      <c r="B6" s="10">
        <v>47.11</v>
      </c>
      <c r="C6" s="9"/>
      <c r="D6" s="9">
        <f t="shared" si="0"/>
        <v>47.11</v>
      </c>
      <c r="E6" s="11"/>
      <c r="F6" s="9"/>
    </row>
    <row r="7" s="1" customFormat="1" customHeight="1" spans="1:6">
      <c r="A7" s="9" t="str">
        <f>"10332100105"</f>
        <v>10332100105</v>
      </c>
      <c r="B7" s="10">
        <v>0</v>
      </c>
      <c r="C7" s="9"/>
      <c r="D7" s="9">
        <f t="shared" si="0"/>
        <v>0</v>
      </c>
      <c r="E7" s="11"/>
      <c r="F7" s="9" t="s">
        <v>7</v>
      </c>
    </row>
    <row r="8" s="1" customFormat="1" customHeight="1" spans="1:6">
      <c r="A8" s="9" t="str">
        <f>"10212100106"</f>
        <v>10212100106</v>
      </c>
      <c r="B8" s="10">
        <v>42.87</v>
      </c>
      <c r="C8" s="9"/>
      <c r="D8" s="9">
        <f t="shared" si="0"/>
        <v>42.87</v>
      </c>
      <c r="E8" s="11"/>
      <c r="F8" s="9"/>
    </row>
    <row r="9" s="1" customFormat="1" customHeight="1" spans="1:6">
      <c r="A9" s="9" t="str">
        <f>"10362100107"</f>
        <v>10362100107</v>
      </c>
      <c r="B9" s="10">
        <v>29.94</v>
      </c>
      <c r="C9" s="9"/>
      <c r="D9" s="9">
        <f t="shared" si="0"/>
        <v>29.94</v>
      </c>
      <c r="E9" s="11"/>
      <c r="F9" s="9"/>
    </row>
    <row r="10" s="1" customFormat="1" customHeight="1" spans="1:6">
      <c r="A10" s="9" t="str">
        <f>"10072100108"</f>
        <v>10072100108</v>
      </c>
      <c r="B10" s="10">
        <v>0</v>
      </c>
      <c r="C10" s="9"/>
      <c r="D10" s="9">
        <f t="shared" si="0"/>
        <v>0</v>
      </c>
      <c r="E10" s="11"/>
      <c r="F10" s="9" t="s">
        <v>7</v>
      </c>
    </row>
    <row r="11" s="1" customFormat="1" customHeight="1" spans="1:6">
      <c r="A11" s="9" t="str">
        <f>"10022100109"</f>
        <v>10022100109</v>
      </c>
      <c r="B11" s="10">
        <v>45.07</v>
      </c>
      <c r="C11" s="9"/>
      <c r="D11" s="9">
        <f t="shared" si="0"/>
        <v>45.07</v>
      </c>
      <c r="E11" s="11"/>
      <c r="F11" s="9"/>
    </row>
    <row r="12" s="1" customFormat="1" customHeight="1" spans="1:6">
      <c r="A12" s="9" t="str">
        <f>"10342100110"</f>
        <v>10342100110</v>
      </c>
      <c r="B12" s="10">
        <v>49</v>
      </c>
      <c r="C12" s="9"/>
      <c r="D12" s="9">
        <f t="shared" si="0"/>
        <v>49</v>
      </c>
      <c r="E12" s="11"/>
      <c r="F12" s="9"/>
    </row>
    <row r="13" s="1" customFormat="1" customHeight="1" spans="1:6">
      <c r="A13" s="9" t="str">
        <f>"10292100111"</f>
        <v>10292100111</v>
      </c>
      <c r="B13" s="10">
        <v>36.79</v>
      </c>
      <c r="C13" s="9"/>
      <c r="D13" s="9">
        <f t="shared" si="0"/>
        <v>36.79</v>
      </c>
      <c r="E13" s="11"/>
      <c r="F13" s="9"/>
    </row>
    <row r="14" s="1" customFormat="1" customHeight="1" spans="1:6">
      <c r="A14" s="9" t="str">
        <f>"10062100112"</f>
        <v>10062100112</v>
      </c>
      <c r="B14" s="10">
        <v>37.94</v>
      </c>
      <c r="C14" s="9"/>
      <c r="D14" s="9">
        <f t="shared" si="0"/>
        <v>37.94</v>
      </c>
      <c r="E14" s="11"/>
      <c r="F14" s="9"/>
    </row>
    <row r="15" s="1" customFormat="1" customHeight="1" spans="1:6">
      <c r="A15" s="9" t="str">
        <f>"10122100113"</f>
        <v>10122100113</v>
      </c>
      <c r="B15" s="10">
        <v>0</v>
      </c>
      <c r="C15" s="9"/>
      <c r="D15" s="9">
        <f t="shared" si="0"/>
        <v>0</v>
      </c>
      <c r="E15" s="11"/>
      <c r="F15" s="9" t="s">
        <v>7</v>
      </c>
    </row>
    <row r="16" s="1" customFormat="1" customHeight="1" spans="1:6">
      <c r="A16" s="9" t="str">
        <f>"10332100114"</f>
        <v>10332100114</v>
      </c>
      <c r="B16" s="10">
        <v>0</v>
      </c>
      <c r="C16" s="9"/>
      <c r="D16" s="9">
        <f t="shared" si="0"/>
        <v>0</v>
      </c>
      <c r="E16" s="11"/>
      <c r="F16" s="9" t="s">
        <v>7</v>
      </c>
    </row>
    <row r="17" s="1" customFormat="1" customHeight="1" spans="1:6">
      <c r="A17" s="9" t="str">
        <f>"10272100115"</f>
        <v>10272100115</v>
      </c>
      <c r="B17" s="10">
        <v>0</v>
      </c>
      <c r="C17" s="9"/>
      <c r="D17" s="9">
        <f t="shared" si="0"/>
        <v>0</v>
      </c>
      <c r="E17" s="11"/>
      <c r="F17" s="9" t="s">
        <v>7</v>
      </c>
    </row>
    <row r="18" s="1" customFormat="1" customHeight="1" spans="1:6">
      <c r="A18" s="9" t="str">
        <f>"10172100116"</f>
        <v>10172100116</v>
      </c>
      <c r="B18" s="10">
        <v>43.15</v>
      </c>
      <c r="C18" s="9"/>
      <c r="D18" s="9">
        <f t="shared" si="0"/>
        <v>43.15</v>
      </c>
      <c r="E18" s="11"/>
      <c r="F18" s="9"/>
    </row>
    <row r="19" s="1" customFormat="1" customHeight="1" spans="1:6">
      <c r="A19" s="9" t="str">
        <f>"10212100117"</f>
        <v>10212100117</v>
      </c>
      <c r="B19" s="10">
        <v>0</v>
      </c>
      <c r="C19" s="9"/>
      <c r="D19" s="9">
        <f t="shared" si="0"/>
        <v>0</v>
      </c>
      <c r="E19" s="11"/>
      <c r="F19" s="9" t="s">
        <v>7</v>
      </c>
    </row>
    <row r="20" s="1" customFormat="1" customHeight="1" spans="1:6">
      <c r="A20" s="9" t="str">
        <f>"10532100118"</f>
        <v>10532100118</v>
      </c>
      <c r="B20" s="10">
        <v>0</v>
      </c>
      <c r="C20" s="9"/>
      <c r="D20" s="9">
        <f t="shared" si="0"/>
        <v>0</v>
      </c>
      <c r="E20" s="11"/>
      <c r="F20" s="9" t="s">
        <v>7</v>
      </c>
    </row>
    <row r="21" s="1" customFormat="1" customHeight="1" spans="1:6">
      <c r="A21" s="9" t="str">
        <f>"10362100119"</f>
        <v>10362100119</v>
      </c>
      <c r="B21" s="10">
        <v>0</v>
      </c>
      <c r="C21" s="9"/>
      <c r="D21" s="9">
        <f t="shared" si="0"/>
        <v>0</v>
      </c>
      <c r="E21" s="11"/>
      <c r="F21" s="9" t="s">
        <v>7</v>
      </c>
    </row>
    <row r="22" s="1" customFormat="1" customHeight="1" spans="1:6">
      <c r="A22" s="9" t="str">
        <f>"10182100120"</f>
        <v>10182100120</v>
      </c>
      <c r="B22" s="10">
        <v>46.67</v>
      </c>
      <c r="C22" s="9"/>
      <c r="D22" s="9">
        <f t="shared" si="0"/>
        <v>46.67</v>
      </c>
      <c r="E22" s="11"/>
      <c r="F22" s="9"/>
    </row>
    <row r="23" s="1" customFormat="1" customHeight="1" spans="1:6">
      <c r="A23" s="9" t="str">
        <f>"10302100121"</f>
        <v>10302100121</v>
      </c>
      <c r="B23" s="10">
        <v>39.82</v>
      </c>
      <c r="C23" s="9"/>
      <c r="D23" s="9">
        <f t="shared" si="0"/>
        <v>39.82</v>
      </c>
      <c r="E23" s="11"/>
      <c r="F23" s="9"/>
    </row>
    <row r="24" s="1" customFormat="1" customHeight="1" spans="1:6">
      <c r="A24" s="9" t="str">
        <f>"10362100122"</f>
        <v>10362100122</v>
      </c>
      <c r="B24" s="10">
        <v>0</v>
      </c>
      <c r="C24" s="9"/>
      <c r="D24" s="9">
        <f t="shared" si="0"/>
        <v>0</v>
      </c>
      <c r="E24" s="11"/>
      <c r="F24" s="9" t="s">
        <v>7</v>
      </c>
    </row>
    <row r="25" s="1" customFormat="1" customHeight="1" spans="1:6">
      <c r="A25" s="9" t="str">
        <f>"10332100123"</f>
        <v>10332100123</v>
      </c>
      <c r="B25" s="10">
        <v>0</v>
      </c>
      <c r="C25" s="9"/>
      <c r="D25" s="9">
        <f t="shared" si="0"/>
        <v>0</v>
      </c>
      <c r="E25" s="11"/>
      <c r="F25" s="9" t="s">
        <v>7</v>
      </c>
    </row>
    <row r="26" s="1" customFormat="1" customHeight="1" spans="1:6">
      <c r="A26" s="9" t="str">
        <f>"10432100124"</f>
        <v>10432100124</v>
      </c>
      <c r="B26" s="10">
        <v>39.27</v>
      </c>
      <c r="C26" s="9"/>
      <c r="D26" s="9">
        <f t="shared" si="0"/>
        <v>39.27</v>
      </c>
      <c r="E26" s="11"/>
      <c r="F26" s="9"/>
    </row>
    <row r="27" s="1" customFormat="1" customHeight="1" spans="1:6">
      <c r="A27" s="9" t="str">
        <f>"10362100125"</f>
        <v>10362100125</v>
      </c>
      <c r="B27" s="10">
        <v>0</v>
      </c>
      <c r="C27" s="9"/>
      <c r="D27" s="9">
        <f t="shared" si="0"/>
        <v>0</v>
      </c>
      <c r="E27" s="11"/>
      <c r="F27" s="9" t="s">
        <v>7</v>
      </c>
    </row>
    <row r="28" s="1" customFormat="1" customHeight="1" spans="1:6">
      <c r="A28" s="9" t="str">
        <f>"10362100126"</f>
        <v>10362100126</v>
      </c>
      <c r="B28" s="10">
        <v>48.38</v>
      </c>
      <c r="C28" s="9"/>
      <c r="D28" s="9">
        <f t="shared" si="0"/>
        <v>48.38</v>
      </c>
      <c r="E28" s="11"/>
      <c r="F28" s="9"/>
    </row>
    <row r="29" s="1" customFormat="1" customHeight="1" spans="1:6">
      <c r="A29" s="9" t="str">
        <f>"10062100127"</f>
        <v>10062100127</v>
      </c>
      <c r="B29" s="10">
        <v>31.22</v>
      </c>
      <c r="C29" s="9"/>
      <c r="D29" s="9">
        <f t="shared" si="0"/>
        <v>31.22</v>
      </c>
      <c r="E29" s="11"/>
      <c r="F29" s="9"/>
    </row>
    <row r="30" s="1" customFormat="1" customHeight="1" spans="1:6">
      <c r="A30" s="9" t="str">
        <f>"10532100128"</f>
        <v>10532100128</v>
      </c>
      <c r="B30" s="10">
        <v>45.61</v>
      </c>
      <c r="C30" s="9"/>
      <c r="D30" s="9">
        <f t="shared" si="0"/>
        <v>45.61</v>
      </c>
      <c r="E30" s="11"/>
      <c r="F30" s="9"/>
    </row>
    <row r="31" s="1" customFormat="1" customHeight="1" spans="1:6">
      <c r="A31" s="9" t="str">
        <f>"10362100129"</f>
        <v>10362100129</v>
      </c>
      <c r="B31" s="10">
        <v>44.49</v>
      </c>
      <c r="C31" s="9"/>
      <c r="D31" s="9">
        <f t="shared" si="0"/>
        <v>44.49</v>
      </c>
      <c r="E31" s="11"/>
      <c r="F31" s="9"/>
    </row>
    <row r="32" s="1" customFormat="1" customHeight="1" spans="1:6">
      <c r="A32" s="9" t="str">
        <f>"10092100130"</f>
        <v>10092100130</v>
      </c>
      <c r="B32" s="10">
        <v>0</v>
      </c>
      <c r="C32" s="9"/>
      <c r="D32" s="9">
        <f t="shared" si="0"/>
        <v>0</v>
      </c>
      <c r="E32" s="11"/>
      <c r="F32" s="9" t="s">
        <v>7</v>
      </c>
    </row>
    <row r="33" s="1" customFormat="1" customHeight="1" spans="1:6">
      <c r="A33" s="9" t="str">
        <f>"10242100201"</f>
        <v>10242100201</v>
      </c>
      <c r="B33" s="10">
        <v>47.49</v>
      </c>
      <c r="C33" s="9"/>
      <c r="D33" s="9">
        <f t="shared" si="0"/>
        <v>47.49</v>
      </c>
      <c r="E33" s="11"/>
      <c r="F33" s="9"/>
    </row>
    <row r="34" s="1" customFormat="1" customHeight="1" spans="1:6">
      <c r="A34" s="9" t="str">
        <f>"10332100202"</f>
        <v>10332100202</v>
      </c>
      <c r="B34" s="10">
        <v>0</v>
      </c>
      <c r="C34" s="9"/>
      <c r="D34" s="9">
        <f t="shared" si="0"/>
        <v>0</v>
      </c>
      <c r="E34" s="11"/>
      <c r="F34" s="9" t="s">
        <v>7</v>
      </c>
    </row>
    <row r="35" s="1" customFormat="1" customHeight="1" spans="1:6">
      <c r="A35" s="9" t="str">
        <f>"10212100203"</f>
        <v>10212100203</v>
      </c>
      <c r="B35" s="10">
        <v>0</v>
      </c>
      <c r="C35" s="9"/>
      <c r="D35" s="9">
        <f t="shared" si="0"/>
        <v>0</v>
      </c>
      <c r="E35" s="11"/>
      <c r="F35" s="9" t="s">
        <v>7</v>
      </c>
    </row>
    <row r="36" s="1" customFormat="1" customHeight="1" spans="1:6">
      <c r="A36" s="9" t="str">
        <f>"10372100204"</f>
        <v>10372100204</v>
      </c>
      <c r="B36" s="10">
        <v>33.16</v>
      </c>
      <c r="C36" s="9"/>
      <c r="D36" s="9">
        <f t="shared" si="0"/>
        <v>33.16</v>
      </c>
      <c r="E36" s="11"/>
      <c r="F36" s="9"/>
    </row>
    <row r="37" s="1" customFormat="1" customHeight="1" spans="1:6">
      <c r="A37" s="9" t="str">
        <f>"10512100205"</f>
        <v>10512100205</v>
      </c>
      <c r="B37" s="10">
        <v>0</v>
      </c>
      <c r="C37" s="9"/>
      <c r="D37" s="9">
        <f t="shared" si="0"/>
        <v>0</v>
      </c>
      <c r="E37" s="11"/>
      <c r="F37" s="9" t="s">
        <v>7</v>
      </c>
    </row>
    <row r="38" s="1" customFormat="1" customHeight="1" spans="1:6">
      <c r="A38" s="9" t="str">
        <f>"10362100206"</f>
        <v>10362100206</v>
      </c>
      <c r="B38" s="10">
        <v>30</v>
      </c>
      <c r="C38" s="9"/>
      <c r="D38" s="9">
        <f t="shared" si="0"/>
        <v>30</v>
      </c>
      <c r="E38" s="11"/>
      <c r="F38" s="9"/>
    </row>
    <row r="39" s="1" customFormat="1" customHeight="1" spans="1:6">
      <c r="A39" s="9" t="str">
        <f>"10062100207"</f>
        <v>10062100207</v>
      </c>
      <c r="B39" s="10">
        <v>0</v>
      </c>
      <c r="C39" s="9"/>
      <c r="D39" s="9">
        <f t="shared" si="0"/>
        <v>0</v>
      </c>
      <c r="E39" s="11"/>
      <c r="F39" s="9" t="s">
        <v>7</v>
      </c>
    </row>
    <row r="40" s="1" customFormat="1" customHeight="1" spans="1:6">
      <c r="A40" s="9" t="str">
        <f>"10362100208"</f>
        <v>10362100208</v>
      </c>
      <c r="B40" s="10">
        <v>45.68</v>
      </c>
      <c r="C40" s="9"/>
      <c r="D40" s="9">
        <f t="shared" si="0"/>
        <v>45.68</v>
      </c>
      <c r="E40" s="11"/>
      <c r="F40" s="9"/>
    </row>
    <row r="41" s="1" customFormat="1" customHeight="1" spans="1:6">
      <c r="A41" s="9" t="str">
        <f>"10362100209"</f>
        <v>10362100209</v>
      </c>
      <c r="B41" s="10">
        <v>36.39</v>
      </c>
      <c r="C41" s="9"/>
      <c r="D41" s="9">
        <f t="shared" si="0"/>
        <v>36.39</v>
      </c>
      <c r="E41" s="11"/>
      <c r="F41" s="9"/>
    </row>
    <row r="42" s="1" customFormat="1" customHeight="1" spans="1:6">
      <c r="A42" s="9" t="str">
        <f>"10502100210"</f>
        <v>10502100210</v>
      </c>
      <c r="B42" s="10">
        <v>40.95</v>
      </c>
      <c r="C42" s="9"/>
      <c r="D42" s="9">
        <f t="shared" si="0"/>
        <v>40.95</v>
      </c>
      <c r="E42" s="11"/>
      <c r="F42" s="9"/>
    </row>
    <row r="43" s="1" customFormat="1" customHeight="1" spans="1:6">
      <c r="A43" s="9" t="str">
        <f>"10062100211"</f>
        <v>10062100211</v>
      </c>
      <c r="B43" s="10">
        <v>0</v>
      </c>
      <c r="C43" s="9"/>
      <c r="D43" s="9">
        <f t="shared" si="0"/>
        <v>0</v>
      </c>
      <c r="E43" s="11"/>
      <c r="F43" s="9" t="s">
        <v>7</v>
      </c>
    </row>
    <row r="44" s="1" customFormat="1" customHeight="1" spans="1:6">
      <c r="A44" s="9" t="str">
        <f>"10362100212"</f>
        <v>10362100212</v>
      </c>
      <c r="B44" s="10">
        <v>37.45</v>
      </c>
      <c r="C44" s="9"/>
      <c r="D44" s="9">
        <f t="shared" si="0"/>
        <v>37.45</v>
      </c>
      <c r="E44" s="11"/>
      <c r="F44" s="9"/>
    </row>
    <row r="45" s="1" customFormat="1" customHeight="1" spans="1:6">
      <c r="A45" s="9" t="str">
        <f>"10362100213"</f>
        <v>10362100213</v>
      </c>
      <c r="B45" s="10">
        <v>0</v>
      </c>
      <c r="C45" s="9"/>
      <c r="D45" s="9">
        <f t="shared" si="0"/>
        <v>0</v>
      </c>
      <c r="E45" s="11"/>
      <c r="F45" s="9" t="s">
        <v>7</v>
      </c>
    </row>
    <row r="46" s="1" customFormat="1" customHeight="1" spans="1:6">
      <c r="A46" s="9" t="str">
        <f>"10302100214"</f>
        <v>10302100214</v>
      </c>
      <c r="B46" s="10">
        <v>0</v>
      </c>
      <c r="C46" s="9"/>
      <c r="D46" s="9">
        <f t="shared" si="0"/>
        <v>0</v>
      </c>
      <c r="E46" s="11"/>
      <c r="F46" s="9" t="s">
        <v>7</v>
      </c>
    </row>
    <row r="47" s="1" customFormat="1" customHeight="1" spans="1:6">
      <c r="A47" s="9" t="str">
        <f>"10442100215"</f>
        <v>10442100215</v>
      </c>
      <c r="B47" s="10">
        <v>40.59</v>
      </c>
      <c r="C47" s="9"/>
      <c r="D47" s="9">
        <f t="shared" si="0"/>
        <v>40.59</v>
      </c>
      <c r="E47" s="11"/>
      <c r="F47" s="9"/>
    </row>
    <row r="48" s="1" customFormat="1" customHeight="1" spans="1:6">
      <c r="A48" s="9" t="str">
        <f>"10432100216"</f>
        <v>10432100216</v>
      </c>
      <c r="B48" s="10">
        <v>43.03</v>
      </c>
      <c r="C48" s="9"/>
      <c r="D48" s="9">
        <f t="shared" si="0"/>
        <v>43.03</v>
      </c>
      <c r="E48" s="11"/>
      <c r="F48" s="9"/>
    </row>
    <row r="49" s="1" customFormat="1" customHeight="1" spans="1:6">
      <c r="A49" s="9" t="str">
        <f>"10502100217"</f>
        <v>10502100217</v>
      </c>
      <c r="B49" s="10">
        <v>36.3</v>
      </c>
      <c r="C49" s="9"/>
      <c r="D49" s="9">
        <f t="shared" si="0"/>
        <v>36.3</v>
      </c>
      <c r="E49" s="11"/>
      <c r="F49" s="9"/>
    </row>
    <row r="50" s="1" customFormat="1" customHeight="1" spans="1:6">
      <c r="A50" s="9" t="str">
        <f>"10362100218"</f>
        <v>10362100218</v>
      </c>
      <c r="B50" s="10">
        <v>41.35</v>
      </c>
      <c r="C50" s="9"/>
      <c r="D50" s="9">
        <f t="shared" si="0"/>
        <v>41.35</v>
      </c>
      <c r="E50" s="11"/>
      <c r="F50" s="9"/>
    </row>
    <row r="51" s="1" customFormat="1" customHeight="1" spans="1:6">
      <c r="A51" s="9" t="str">
        <f>"10092100219"</f>
        <v>10092100219</v>
      </c>
      <c r="B51" s="10">
        <v>0</v>
      </c>
      <c r="C51" s="9"/>
      <c r="D51" s="9">
        <f t="shared" si="0"/>
        <v>0</v>
      </c>
      <c r="E51" s="11"/>
      <c r="F51" s="9" t="s">
        <v>7</v>
      </c>
    </row>
    <row r="52" s="1" customFormat="1" customHeight="1" spans="1:6">
      <c r="A52" s="9" t="str">
        <f>"10532100220"</f>
        <v>10532100220</v>
      </c>
      <c r="B52" s="10">
        <v>30.31</v>
      </c>
      <c r="C52" s="9"/>
      <c r="D52" s="9">
        <f t="shared" si="0"/>
        <v>30.31</v>
      </c>
      <c r="E52" s="11"/>
      <c r="F52" s="9"/>
    </row>
    <row r="53" s="1" customFormat="1" customHeight="1" spans="1:6">
      <c r="A53" s="9" t="str">
        <f>"10062100221"</f>
        <v>10062100221</v>
      </c>
      <c r="B53" s="10">
        <v>42.06</v>
      </c>
      <c r="C53" s="9"/>
      <c r="D53" s="9">
        <f t="shared" si="0"/>
        <v>42.06</v>
      </c>
      <c r="E53" s="11"/>
      <c r="F53" s="9"/>
    </row>
    <row r="54" s="1" customFormat="1" customHeight="1" spans="1:6">
      <c r="A54" s="9" t="str">
        <f>"10362100222"</f>
        <v>10362100222</v>
      </c>
      <c r="B54" s="10">
        <v>49.41</v>
      </c>
      <c r="C54" s="9"/>
      <c r="D54" s="9">
        <f t="shared" si="0"/>
        <v>49.41</v>
      </c>
      <c r="E54" s="11"/>
      <c r="F54" s="9"/>
    </row>
    <row r="55" s="1" customFormat="1" customHeight="1" spans="1:6">
      <c r="A55" s="9" t="str">
        <f>"10162100223"</f>
        <v>10162100223</v>
      </c>
      <c r="B55" s="10">
        <v>0</v>
      </c>
      <c r="C55" s="9"/>
      <c r="D55" s="9">
        <f t="shared" si="0"/>
        <v>0</v>
      </c>
      <c r="E55" s="11"/>
      <c r="F55" s="9" t="s">
        <v>7</v>
      </c>
    </row>
    <row r="56" s="1" customFormat="1" customHeight="1" spans="1:6">
      <c r="A56" s="9" t="str">
        <f>"10512100224"</f>
        <v>10512100224</v>
      </c>
      <c r="B56" s="10">
        <v>45.44</v>
      </c>
      <c r="C56" s="9"/>
      <c r="D56" s="9">
        <f t="shared" si="0"/>
        <v>45.44</v>
      </c>
      <c r="E56" s="11"/>
      <c r="F56" s="9"/>
    </row>
    <row r="57" s="1" customFormat="1" customHeight="1" spans="1:6">
      <c r="A57" s="9" t="str">
        <f>"10302100225"</f>
        <v>10302100225</v>
      </c>
      <c r="B57" s="10">
        <v>50.15</v>
      </c>
      <c r="C57" s="9"/>
      <c r="D57" s="9">
        <f t="shared" si="0"/>
        <v>50.15</v>
      </c>
      <c r="E57" s="11"/>
      <c r="F57" s="9"/>
    </row>
    <row r="58" s="1" customFormat="1" customHeight="1" spans="1:6">
      <c r="A58" s="9" t="str">
        <f>"10092100226"</f>
        <v>10092100226</v>
      </c>
      <c r="B58" s="10">
        <v>45.01</v>
      </c>
      <c r="C58" s="9"/>
      <c r="D58" s="9">
        <f t="shared" si="0"/>
        <v>45.01</v>
      </c>
      <c r="E58" s="11"/>
      <c r="F58" s="9"/>
    </row>
    <row r="59" s="1" customFormat="1" customHeight="1" spans="1:6">
      <c r="A59" s="9" t="str">
        <f>"10282100227"</f>
        <v>10282100227</v>
      </c>
      <c r="B59" s="10">
        <v>0</v>
      </c>
      <c r="C59" s="9"/>
      <c r="D59" s="9">
        <f t="shared" si="0"/>
        <v>0</v>
      </c>
      <c r="E59" s="11"/>
      <c r="F59" s="9" t="s">
        <v>7</v>
      </c>
    </row>
    <row r="60" s="1" customFormat="1" customHeight="1" spans="1:6">
      <c r="A60" s="9" t="str">
        <f>"10172100228"</f>
        <v>10172100228</v>
      </c>
      <c r="B60" s="10">
        <v>43.3</v>
      </c>
      <c r="C60" s="9"/>
      <c r="D60" s="9">
        <f t="shared" si="0"/>
        <v>43.3</v>
      </c>
      <c r="E60" s="11"/>
      <c r="F60" s="9"/>
    </row>
    <row r="61" s="1" customFormat="1" customHeight="1" spans="1:6">
      <c r="A61" s="9" t="str">
        <f>"10292100229"</f>
        <v>10292100229</v>
      </c>
      <c r="B61" s="10">
        <v>44.19</v>
      </c>
      <c r="C61" s="9"/>
      <c r="D61" s="9">
        <f t="shared" si="0"/>
        <v>44.19</v>
      </c>
      <c r="E61" s="11"/>
      <c r="F61" s="9"/>
    </row>
    <row r="62" s="1" customFormat="1" customHeight="1" spans="1:6">
      <c r="A62" s="9" t="str">
        <f>"10442100230"</f>
        <v>10442100230</v>
      </c>
      <c r="B62" s="10">
        <v>34.75</v>
      </c>
      <c r="C62" s="9"/>
      <c r="D62" s="9">
        <f t="shared" si="0"/>
        <v>34.75</v>
      </c>
      <c r="E62" s="11"/>
      <c r="F62" s="9"/>
    </row>
    <row r="63" s="1" customFormat="1" customHeight="1" spans="1:6">
      <c r="A63" s="9" t="str">
        <f>"10532100301"</f>
        <v>10532100301</v>
      </c>
      <c r="B63" s="10">
        <v>38.94</v>
      </c>
      <c r="C63" s="9"/>
      <c r="D63" s="9">
        <f t="shared" si="0"/>
        <v>38.94</v>
      </c>
      <c r="E63" s="11"/>
      <c r="F63" s="9"/>
    </row>
    <row r="64" s="1" customFormat="1" customHeight="1" spans="1:6">
      <c r="A64" s="9" t="str">
        <f>"10042100302"</f>
        <v>10042100302</v>
      </c>
      <c r="B64" s="10">
        <v>36.07</v>
      </c>
      <c r="C64" s="9"/>
      <c r="D64" s="9">
        <f t="shared" si="0"/>
        <v>36.07</v>
      </c>
      <c r="E64" s="11"/>
      <c r="F64" s="9"/>
    </row>
    <row r="65" s="1" customFormat="1" customHeight="1" spans="1:6">
      <c r="A65" s="9" t="str">
        <f>"10212100303"</f>
        <v>10212100303</v>
      </c>
      <c r="B65" s="10">
        <v>0</v>
      </c>
      <c r="C65" s="9"/>
      <c r="D65" s="9">
        <f t="shared" si="0"/>
        <v>0</v>
      </c>
      <c r="E65" s="11"/>
      <c r="F65" s="9" t="s">
        <v>7</v>
      </c>
    </row>
    <row r="66" s="1" customFormat="1" customHeight="1" spans="1:6">
      <c r="A66" s="9" t="str">
        <f>"10502100304"</f>
        <v>10502100304</v>
      </c>
      <c r="B66" s="10">
        <v>42.24</v>
      </c>
      <c r="C66" s="9"/>
      <c r="D66" s="9">
        <f t="shared" si="0"/>
        <v>42.24</v>
      </c>
      <c r="E66" s="11"/>
      <c r="F66" s="9"/>
    </row>
    <row r="67" s="1" customFormat="1" customHeight="1" spans="1:6">
      <c r="A67" s="9" t="str">
        <f>"10062100305"</f>
        <v>10062100305</v>
      </c>
      <c r="B67" s="10">
        <v>0</v>
      </c>
      <c r="C67" s="9"/>
      <c r="D67" s="9">
        <f t="shared" ref="D67:D130" si="1">SUM(B67:C67)</f>
        <v>0</v>
      </c>
      <c r="E67" s="11"/>
      <c r="F67" s="9" t="s">
        <v>7</v>
      </c>
    </row>
    <row r="68" s="1" customFormat="1" customHeight="1" spans="1:6">
      <c r="A68" s="9" t="str">
        <f>"10082100306"</f>
        <v>10082100306</v>
      </c>
      <c r="B68" s="10">
        <v>0</v>
      </c>
      <c r="C68" s="9"/>
      <c r="D68" s="9">
        <f t="shared" si="1"/>
        <v>0</v>
      </c>
      <c r="E68" s="11"/>
      <c r="F68" s="9" t="s">
        <v>7</v>
      </c>
    </row>
    <row r="69" s="1" customFormat="1" customHeight="1" spans="1:6">
      <c r="A69" s="9" t="str">
        <f>"10362100307"</f>
        <v>10362100307</v>
      </c>
      <c r="B69" s="10">
        <v>38.44</v>
      </c>
      <c r="C69" s="9"/>
      <c r="D69" s="9">
        <f t="shared" si="1"/>
        <v>38.44</v>
      </c>
      <c r="E69" s="11"/>
      <c r="F69" s="9"/>
    </row>
    <row r="70" s="1" customFormat="1" customHeight="1" spans="1:6">
      <c r="A70" s="9" t="str">
        <f>"10112100308"</f>
        <v>10112100308</v>
      </c>
      <c r="B70" s="10">
        <v>38.47</v>
      </c>
      <c r="C70" s="9"/>
      <c r="D70" s="9">
        <f t="shared" si="1"/>
        <v>38.47</v>
      </c>
      <c r="E70" s="11"/>
      <c r="F70" s="9"/>
    </row>
    <row r="71" s="1" customFormat="1" customHeight="1" spans="1:6">
      <c r="A71" s="9" t="str">
        <f>"10012100309"</f>
        <v>10012100309</v>
      </c>
      <c r="B71" s="10">
        <v>40.82</v>
      </c>
      <c r="C71" s="9"/>
      <c r="D71" s="9">
        <f t="shared" si="1"/>
        <v>40.82</v>
      </c>
      <c r="E71" s="11"/>
      <c r="F71" s="9"/>
    </row>
    <row r="72" s="1" customFormat="1" customHeight="1" spans="1:6">
      <c r="A72" s="9" t="str">
        <f>"10232100310"</f>
        <v>10232100310</v>
      </c>
      <c r="B72" s="10">
        <v>48.65</v>
      </c>
      <c r="C72" s="9"/>
      <c r="D72" s="9">
        <f t="shared" si="1"/>
        <v>48.65</v>
      </c>
      <c r="E72" s="11"/>
      <c r="F72" s="9"/>
    </row>
    <row r="73" s="1" customFormat="1" customHeight="1" spans="1:6">
      <c r="A73" s="9" t="str">
        <f>"10212100311"</f>
        <v>10212100311</v>
      </c>
      <c r="B73" s="10">
        <v>45.17</v>
      </c>
      <c r="C73" s="9"/>
      <c r="D73" s="9">
        <f t="shared" si="1"/>
        <v>45.17</v>
      </c>
      <c r="E73" s="11"/>
      <c r="F73" s="9"/>
    </row>
    <row r="74" s="1" customFormat="1" customHeight="1" spans="1:6">
      <c r="A74" s="9" t="str">
        <f>"10432100312"</f>
        <v>10432100312</v>
      </c>
      <c r="B74" s="10">
        <v>0</v>
      </c>
      <c r="C74" s="9"/>
      <c r="D74" s="9">
        <f t="shared" si="1"/>
        <v>0</v>
      </c>
      <c r="E74" s="11"/>
      <c r="F74" s="9" t="s">
        <v>7</v>
      </c>
    </row>
    <row r="75" s="1" customFormat="1" customHeight="1" spans="1:6">
      <c r="A75" s="9" t="str">
        <f>"10502100313"</f>
        <v>10502100313</v>
      </c>
      <c r="B75" s="10">
        <v>40.11</v>
      </c>
      <c r="C75" s="9"/>
      <c r="D75" s="9">
        <f t="shared" si="1"/>
        <v>40.11</v>
      </c>
      <c r="E75" s="11"/>
      <c r="F75" s="9"/>
    </row>
    <row r="76" s="1" customFormat="1" customHeight="1" spans="1:6">
      <c r="A76" s="9" t="str">
        <f>"10482100314"</f>
        <v>10482100314</v>
      </c>
      <c r="B76" s="10">
        <v>36.84</v>
      </c>
      <c r="C76" s="9"/>
      <c r="D76" s="9">
        <f t="shared" si="1"/>
        <v>36.84</v>
      </c>
      <c r="E76" s="11"/>
      <c r="F76" s="9"/>
    </row>
    <row r="77" s="1" customFormat="1" customHeight="1" spans="1:6">
      <c r="A77" s="9" t="str">
        <f>"20272100315"</f>
        <v>20272100315</v>
      </c>
      <c r="B77" s="10">
        <v>0</v>
      </c>
      <c r="C77" s="9"/>
      <c r="D77" s="9">
        <f t="shared" si="1"/>
        <v>0</v>
      </c>
      <c r="E77" s="11"/>
      <c r="F77" s="9" t="s">
        <v>7</v>
      </c>
    </row>
    <row r="78" s="1" customFormat="1" customHeight="1" spans="1:6">
      <c r="A78" s="9" t="str">
        <f>"10062100316"</f>
        <v>10062100316</v>
      </c>
      <c r="B78" s="10">
        <v>39.06</v>
      </c>
      <c r="C78" s="9"/>
      <c r="D78" s="9">
        <f t="shared" si="1"/>
        <v>39.06</v>
      </c>
      <c r="E78" s="11"/>
      <c r="F78" s="9"/>
    </row>
    <row r="79" s="1" customFormat="1" customHeight="1" spans="1:6">
      <c r="A79" s="9" t="str">
        <f>"10102100317"</f>
        <v>10102100317</v>
      </c>
      <c r="B79" s="10">
        <v>37.36</v>
      </c>
      <c r="C79" s="9"/>
      <c r="D79" s="9">
        <f t="shared" si="1"/>
        <v>37.36</v>
      </c>
      <c r="E79" s="11"/>
      <c r="F79" s="9"/>
    </row>
    <row r="80" s="1" customFormat="1" customHeight="1" spans="1:6">
      <c r="A80" s="9" t="str">
        <f>"10502100318"</f>
        <v>10502100318</v>
      </c>
      <c r="B80" s="10">
        <v>35.58</v>
      </c>
      <c r="C80" s="9"/>
      <c r="D80" s="9">
        <f t="shared" si="1"/>
        <v>35.58</v>
      </c>
      <c r="E80" s="11"/>
      <c r="F80" s="9"/>
    </row>
    <row r="81" s="1" customFormat="1" customHeight="1" spans="1:6">
      <c r="A81" s="9" t="str">
        <f>"10302100319"</f>
        <v>10302100319</v>
      </c>
      <c r="B81" s="10">
        <v>47.52</v>
      </c>
      <c r="C81" s="9"/>
      <c r="D81" s="9">
        <f t="shared" si="1"/>
        <v>47.52</v>
      </c>
      <c r="E81" s="11"/>
      <c r="F81" s="9"/>
    </row>
    <row r="82" s="1" customFormat="1" customHeight="1" spans="1:6">
      <c r="A82" s="9" t="str">
        <f>"10362100320"</f>
        <v>10362100320</v>
      </c>
      <c r="B82" s="10">
        <v>0</v>
      </c>
      <c r="C82" s="9"/>
      <c r="D82" s="9">
        <f t="shared" si="1"/>
        <v>0</v>
      </c>
      <c r="E82" s="11"/>
      <c r="F82" s="9" t="s">
        <v>7</v>
      </c>
    </row>
    <row r="83" s="1" customFormat="1" customHeight="1" spans="1:6">
      <c r="A83" s="9" t="str">
        <f>"10122100321"</f>
        <v>10122100321</v>
      </c>
      <c r="B83" s="10">
        <v>39.82</v>
      </c>
      <c r="C83" s="9"/>
      <c r="D83" s="9">
        <f t="shared" si="1"/>
        <v>39.82</v>
      </c>
      <c r="E83" s="11"/>
      <c r="F83" s="9"/>
    </row>
    <row r="84" s="1" customFormat="1" customHeight="1" spans="1:6">
      <c r="A84" s="9" t="str">
        <f>"10352100322"</f>
        <v>10352100322</v>
      </c>
      <c r="B84" s="10">
        <v>42.85</v>
      </c>
      <c r="C84" s="9"/>
      <c r="D84" s="9">
        <f t="shared" si="1"/>
        <v>42.85</v>
      </c>
      <c r="E84" s="11"/>
      <c r="F84" s="9"/>
    </row>
    <row r="85" s="1" customFormat="1" customHeight="1" spans="1:6">
      <c r="A85" s="9" t="str">
        <f>"10362100323"</f>
        <v>10362100323</v>
      </c>
      <c r="B85" s="10">
        <v>38.87</v>
      </c>
      <c r="C85" s="9"/>
      <c r="D85" s="9">
        <f t="shared" si="1"/>
        <v>38.87</v>
      </c>
      <c r="E85" s="11"/>
      <c r="F85" s="9"/>
    </row>
    <row r="86" s="1" customFormat="1" customHeight="1" spans="1:6">
      <c r="A86" s="9" t="str">
        <f>"10442100324"</f>
        <v>10442100324</v>
      </c>
      <c r="B86" s="10">
        <v>32.26</v>
      </c>
      <c r="C86" s="9"/>
      <c r="D86" s="9">
        <f t="shared" si="1"/>
        <v>32.26</v>
      </c>
      <c r="E86" s="11"/>
      <c r="F86" s="9"/>
    </row>
    <row r="87" s="1" customFormat="1" customHeight="1" spans="1:6">
      <c r="A87" s="9" t="str">
        <f>"10232100325"</f>
        <v>10232100325</v>
      </c>
      <c r="B87" s="10">
        <v>44.01</v>
      </c>
      <c r="C87" s="9"/>
      <c r="D87" s="9">
        <f t="shared" si="1"/>
        <v>44.01</v>
      </c>
      <c r="E87" s="11"/>
      <c r="F87" s="9"/>
    </row>
    <row r="88" s="1" customFormat="1" customHeight="1" spans="1:6">
      <c r="A88" s="9" t="str">
        <f>"10512100326"</f>
        <v>10512100326</v>
      </c>
      <c r="B88" s="10">
        <v>0</v>
      </c>
      <c r="C88" s="9"/>
      <c r="D88" s="9">
        <f t="shared" si="1"/>
        <v>0</v>
      </c>
      <c r="E88" s="11"/>
      <c r="F88" s="9" t="s">
        <v>7</v>
      </c>
    </row>
    <row r="89" s="1" customFormat="1" customHeight="1" spans="1:6">
      <c r="A89" s="9" t="str">
        <f>"10282100327"</f>
        <v>10282100327</v>
      </c>
      <c r="B89" s="10">
        <v>0</v>
      </c>
      <c r="C89" s="9"/>
      <c r="D89" s="9">
        <f t="shared" si="1"/>
        <v>0</v>
      </c>
      <c r="E89" s="11"/>
      <c r="F89" s="9" t="s">
        <v>7</v>
      </c>
    </row>
    <row r="90" s="1" customFormat="1" customHeight="1" spans="1:6">
      <c r="A90" s="9" t="str">
        <f>"10012100328"</f>
        <v>10012100328</v>
      </c>
      <c r="B90" s="10">
        <v>40.25</v>
      </c>
      <c r="C90" s="9"/>
      <c r="D90" s="9">
        <f t="shared" si="1"/>
        <v>40.25</v>
      </c>
      <c r="E90" s="11"/>
      <c r="F90" s="9"/>
    </row>
    <row r="91" s="1" customFormat="1" customHeight="1" spans="1:6">
      <c r="A91" s="9" t="str">
        <f>"10442100329"</f>
        <v>10442100329</v>
      </c>
      <c r="B91" s="10">
        <v>0</v>
      </c>
      <c r="C91" s="9"/>
      <c r="D91" s="9">
        <f t="shared" si="1"/>
        <v>0</v>
      </c>
      <c r="E91" s="11"/>
      <c r="F91" s="9" t="s">
        <v>7</v>
      </c>
    </row>
    <row r="92" s="1" customFormat="1" customHeight="1" spans="1:6">
      <c r="A92" s="9" t="str">
        <f>"10102100330"</f>
        <v>10102100330</v>
      </c>
      <c r="B92" s="10">
        <v>40.48</v>
      </c>
      <c r="C92" s="9"/>
      <c r="D92" s="9">
        <f t="shared" si="1"/>
        <v>40.48</v>
      </c>
      <c r="E92" s="11"/>
      <c r="F92" s="9"/>
    </row>
    <row r="93" s="1" customFormat="1" customHeight="1" spans="1:6">
      <c r="A93" s="9" t="str">
        <f>"10362100401"</f>
        <v>10362100401</v>
      </c>
      <c r="B93" s="10">
        <v>0</v>
      </c>
      <c r="C93" s="9"/>
      <c r="D93" s="9">
        <f t="shared" si="1"/>
        <v>0</v>
      </c>
      <c r="E93" s="11"/>
      <c r="F93" s="9" t="s">
        <v>7</v>
      </c>
    </row>
    <row r="94" s="1" customFormat="1" customHeight="1" spans="1:6">
      <c r="A94" s="9" t="str">
        <f>"10072100402"</f>
        <v>10072100402</v>
      </c>
      <c r="B94" s="10">
        <v>39.02</v>
      </c>
      <c r="C94" s="9"/>
      <c r="D94" s="9">
        <f t="shared" si="1"/>
        <v>39.02</v>
      </c>
      <c r="E94" s="11"/>
      <c r="F94" s="9"/>
    </row>
    <row r="95" s="1" customFormat="1" customHeight="1" spans="1:6">
      <c r="A95" s="9" t="str">
        <f>"10102100403"</f>
        <v>10102100403</v>
      </c>
      <c r="B95" s="10">
        <v>39.99</v>
      </c>
      <c r="C95" s="9"/>
      <c r="D95" s="9">
        <f t="shared" si="1"/>
        <v>39.99</v>
      </c>
      <c r="E95" s="11"/>
      <c r="F95" s="9"/>
    </row>
    <row r="96" s="1" customFormat="1" customHeight="1" spans="1:6">
      <c r="A96" s="9" t="str">
        <f>"10532100404"</f>
        <v>10532100404</v>
      </c>
      <c r="B96" s="10">
        <v>0</v>
      </c>
      <c r="C96" s="9"/>
      <c r="D96" s="9">
        <f t="shared" si="1"/>
        <v>0</v>
      </c>
      <c r="E96" s="11"/>
      <c r="F96" s="9" t="s">
        <v>7</v>
      </c>
    </row>
    <row r="97" s="1" customFormat="1" customHeight="1" spans="1:6">
      <c r="A97" s="9" t="str">
        <f>"10362100405"</f>
        <v>10362100405</v>
      </c>
      <c r="B97" s="10">
        <v>0</v>
      </c>
      <c r="C97" s="9"/>
      <c r="D97" s="9">
        <f t="shared" si="1"/>
        <v>0</v>
      </c>
      <c r="E97" s="11"/>
      <c r="F97" s="9" t="s">
        <v>7</v>
      </c>
    </row>
    <row r="98" s="1" customFormat="1" customHeight="1" spans="1:6">
      <c r="A98" s="9" t="str">
        <f>"10132100406"</f>
        <v>10132100406</v>
      </c>
      <c r="B98" s="10">
        <v>42.32</v>
      </c>
      <c r="C98" s="9">
        <v>10</v>
      </c>
      <c r="D98" s="9">
        <f t="shared" si="1"/>
        <v>52.32</v>
      </c>
      <c r="E98" s="12" t="s">
        <v>8</v>
      </c>
      <c r="F98" s="9"/>
    </row>
    <row r="99" s="1" customFormat="1" customHeight="1" spans="1:6">
      <c r="A99" s="9" t="str">
        <f>"10332100407"</f>
        <v>10332100407</v>
      </c>
      <c r="B99" s="10">
        <v>0</v>
      </c>
      <c r="C99" s="9"/>
      <c r="D99" s="9">
        <f t="shared" si="1"/>
        <v>0</v>
      </c>
      <c r="E99" s="11"/>
      <c r="F99" s="9" t="s">
        <v>7</v>
      </c>
    </row>
    <row r="100" s="1" customFormat="1" customHeight="1" spans="1:6">
      <c r="A100" s="9" t="str">
        <f>"10242100408"</f>
        <v>10242100408</v>
      </c>
      <c r="B100" s="10">
        <v>0</v>
      </c>
      <c r="C100" s="9"/>
      <c r="D100" s="9">
        <f t="shared" si="1"/>
        <v>0</v>
      </c>
      <c r="E100" s="11"/>
      <c r="F100" s="9" t="s">
        <v>7</v>
      </c>
    </row>
    <row r="101" s="1" customFormat="1" customHeight="1" spans="1:6">
      <c r="A101" s="9" t="str">
        <f>"10362100409"</f>
        <v>10362100409</v>
      </c>
      <c r="B101" s="10">
        <v>59.1</v>
      </c>
      <c r="C101" s="9"/>
      <c r="D101" s="9">
        <f t="shared" si="1"/>
        <v>59.1</v>
      </c>
      <c r="E101" s="11"/>
      <c r="F101" s="9"/>
    </row>
    <row r="102" s="1" customFormat="1" customHeight="1" spans="1:6">
      <c r="A102" s="9" t="str">
        <f>"10072100410"</f>
        <v>10072100410</v>
      </c>
      <c r="B102" s="10">
        <v>0</v>
      </c>
      <c r="C102" s="9"/>
      <c r="D102" s="9">
        <f t="shared" si="1"/>
        <v>0</v>
      </c>
      <c r="E102" s="11"/>
      <c r="F102" s="9" t="s">
        <v>7</v>
      </c>
    </row>
    <row r="103" s="1" customFormat="1" customHeight="1" spans="1:6">
      <c r="A103" s="9" t="str">
        <f>"10442100411"</f>
        <v>10442100411</v>
      </c>
      <c r="B103" s="10">
        <v>40.96</v>
      </c>
      <c r="C103" s="9"/>
      <c r="D103" s="9">
        <f t="shared" si="1"/>
        <v>40.96</v>
      </c>
      <c r="E103" s="11"/>
      <c r="F103" s="9"/>
    </row>
    <row r="104" s="1" customFormat="1" customHeight="1" spans="1:6">
      <c r="A104" s="9" t="str">
        <f>"10442100412"</f>
        <v>10442100412</v>
      </c>
      <c r="B104" s="10">
        <v>37.45</v>
      </c>
      <c r="C104" s="9"/>
      <c r="D104" s="9">
        <f t="shared" si="1"/>
        <v>37.45</v>
      </c>
      <c r="E104" s="11"/>
      <c r="F104" s="9"/>
    </row>
    <row r="105" s="1" customFormat="1" customHeight="1" spans="1:6">
      <c r="A105" s="9" t="str">
        <f>"10532100413"</f>
        <v>10532100413</v>
      </c>
      <c r="B105" s="10">
        <v>22.93</v>
      </c>
      <c r="C105" s="9"/>
      <c r="D105" s="9">
        <f t="shared" si="1"/>
        <v>22.93</v>
      </c>
      <c r="E105" s="11"/>
      <c r="F105" s="9"/>
    </row>
    <row r="106" s="1" customFormat="1" customHeight="1" spans="1:6">
      <c r="A106" s="9" t="str">
        <f>"10532100414"</f>
        <v>10532100414</v>
      </c>
      <c r="B106" s="10">
        <v>44.66</v>
      </c>
      <c r="C106" s="9"/>
      <c r="D106" s="9">
        <f t="shared" si="1"/>
        <v>44.66</v>
      </c>
      <c r="E106" s="11"/>
      <c r="F106" s="9"/>
    </row>
    <row r="107" s="1" customFormat="1" customHeight="1" spans="1:6">
      <c r="A107" s="9" t="str">
        <f>"10122100415"</f>
        <v>10122100415</v>
      </c>
      <c r="B107" s="10">
        <v>0</v>
      </c>
      <c r="C107" s="9"/>
      <c r="D107" s="9">
        <f t="shared" si="1"/>
        <v>0</v>
      </c>
      <c r="E107" s="11"/>
      <c r="F107" s="9" t="s">
        <v>7</v>
      </c>
    </row>
    <row r="108" s="1" customFormat="1" customHeight="1" spans="1:6">
      <c r="A108" s="9" t="str">
        <f>"10362100416"</f>
        <v>10362100416</v>
      </c>
      <c r="B108" s="10">
        <v>0</v>
      </c>
      <c r="C108" s="9"/>
      <c r="D108" s="9">
        <f t="shared" si="1"/>
        <v>0</v>
      </c>
      <c r="E108" s="11"/>
      <c r="F108" s="9" t="s">
        <v>7</v>
      </c>
    </row>
    <row r="109" s="1" customFormat="1" customHeight="1" spans="1:6">
      <c r="A109" s="9" t="str">
        <f>"10512100417"</f>
        <v>10512100417</v>
      </c>
      <c r="B109" s="10">
        <v>0</v>
      </c>
      <c r="C109" s="9"/>
      <c r="D109" s="9">
        <f t="shared" si="1"/>
        <v>0</v>
      </c>
      <c r="E109" s="11"/>
      <c r="F109" s="9" t="s">
        <v>7</v>
      </c>
    </row>
    <row r="110" s="1" customFormat="1" customHeight="1" spans="1:6">
      <c r="A110" s="9" t="str">
        <f>"10302100418"</f>
        <v>10302100418</v>
      </c>
      <c r="B110" s="10">
        <v>32.18</v>
      </c>
      <c r="C110" s="9"/>
      <c r="D110" s="9">
        <f t="shared" si="1"/>
        <v>32.18</v>
      </c>
      <c r="E110" s="11"/>
      <c r="F110" s="9"/>
    </row>
    <row r="111" s="1" customFormat="1" customHeight="1" spans="1:6">
      <c r="A111" s="9" t="str">
        <f>"10502100419"</f>
        <v>10502100419</v>
      </c>
      <c r="B111" s="10">
        <v>43.72</v>
      </c>
      <c r="C111" s="9"/>
      <c r="D111" s="9">
        <f t="shared" si="1"/>
        <v>43.72</v>
      </c>
      <c r="E111" s="11"/>
      <c r="F111" s="9"/>
    </row>
    <row r="112" s="1" customFormat="1" customHeight="1" spans="1:6">
      <c r="A112" s="9" t="str">
        <f>"10302100420"</f>
        <v>10302100420</v>
      </c>
      <c r="B112" s="10">
        <v>0</v>
      </c>
      <c r="C112" s="9"/>
      <c r="D112" s="9">
        <f t="shared" si="1"/>
        <v>0</v>
      </c>
      <c r="E112" s="11"/>
      <c r="F112" s="9" t="s">
        <v>7</v>
      </c>
    </row>
    <row r="113" s="1" customFormat="1" customHeight="1" spans="1:6">
      <c r="A113" s="9" t="str">
        <f>"10362100421"</f>
        <v>10362100421</v>
      </c>
      <c r="B113" s="10">
        <v>0</v>
      </c>
      <c r="C113" s="9"/>
      <c r="D113" s="9">
        <f t="shared" si="1"/>
        <v>0</v>
      </c>
      <c r="E113" s="11"/>
      <c r="F113" s="9" t="s">
        <v>7</v>
      </c>
    </row>
    <row r="114" s="1" customFormat="1" customHeight="1" spans="1:6">
      <c r="A114" s="9" t="str">
        <f>"10202100422"</f>
        <v>10202100422</v>
      </c>
      <c r="B114" s="10">
        <v>39.38</v>
      </c>
      <c r="C114" s="9"/>
      <c r="D114" s="9">
        <f t="shared" si="1"/>
        <v>39.38</v>
      </c>
      <c r="E114" s="11"/>
      <c r="F114" s="9"/>
    </row>
    <row r="115" s="1" customFormat="1" customHeight="1" spans="1:6">
      <c r="A115" s="9" t="str">
        <f>"10532100423"</f>
        <v>10532100423</v>
      </c>
      <c r="B115" s="10">
        <v>0</v>
      </c>
      <c r="C115" s="9"/>
      <c r="D115" s="9">
        <f t="shared" si="1"/>
        <v>0</v>
      </c>
      <c r="E115" s="11"/>
      <c r="F115" s="9" t="s">
        <v>7</v>
      </c>
    </row>
    <row r="116" s="1" customFormat="1" customHeight="1" spans="1:6">
      <c r="A116" s="9" t="str">
        <f>"10442100424"</f>
        <v>10442100424</v>
      </c>
      <c r="B116" s="10">
        <v>41.89</v>
      </c>
      <c r="C116" s="9"/>
      <c r="D116" s="9">
        <f t="shared" si="1"/>
        <v>41.89</v>
      </c>
      <c r="E116" s="11"/>
      <c r="F116" s="9"/>
    </row>
    <row r="117" s="1" customFormat="1" customHeight="1" spans="1:6">
      <c r="A117" s="9" t="str">
        <f>"10192100425"</f>
        <v>10192100425</v>
      </c>
      <c r="B117" s="10">
        <v>0</v>
      </c>
      <c r="C117" s="9"/>
      <c r="D117" s="9">
        <f t="shared" si="1"/>
        <v>0</v>
      </c>
      <c r="E117" s="11"/>
      <c r="F117" s="9" t="s">
        <v>7</v>
      </c>
    </row>
    <row r="118" s="1" customFormat="1" customHeight="1" spans="1:6">
      <c r="A118" s="9" t="str">
        <f>"10422100426"</f>
        <v>10422100426</v>
      </c>
      <c r="B118" s="10">
        <v>41.03</v>
      </c>
      <c r="C118" s="9"/>
      <c r="D118" s="9">
        <f t="shared" si="1"/>
        <v>41.03</v>
      </c>
      <c r="E118" s="11"/>
      <c r="F118" s="9"/>
    </row>
    <row r="119" s="1" customFormat="1" customHeight="1" spans="1:6">
      <c r="A119" s="9" t="str">
        <f>"10292100427"</f>
        <v>10292100427</v>
      </c>
      <c r="B119" s="10">
        <v>43.15</v>
      </c>
      <c r="C119" s="9"/>
      <c r="D119" s="9">
        <f t="shared" si="1"/>
        <v>43.15</v>
      </c>
      <c r="E119" s="11"/>
      <c r="F119" s="9"/>
    </row>
    <row r="120" s="1" customFormat="1" customHeight="1" spans="1:6">
      <c r="A120" s="9" t="str">
        <f>"10362100428"</f>
        <v>10362100428</v>
      </c>
      <c r="B120" s="10">
        <v>35.21</v>
      </c>
      <c r="C120" s="9"/>
      <c r="D120" s="9">
        <f t="shared" si="1"/>
        <v>35.21</v>
      </c>
      <c r="E120" s="11"/>
      <c r="F120" s="9"/>
    </row>
    <row r="121" s="1" customFormat="1" customHeight="1" spans="1:6">
      <c r="A121" s="9" t="str">
        <f>"10042100429"</f>
        <v>10042100429</v>
      </c>
      <c r="B121" s="10">
        <v>34.11</v>
      </c>
      <c r="C121" s="9"/>
      <c r="D121" s="9">
        <f t="shared" si="1"/>
        <v>34.11</v>
      </c>
      <c r="E121" s="11"/>
      <c r="F121" s="9"/>
    </row>
    <row r="122" s="1" customFormat="1" customHeight="1" spans="1:6">
      <c r="A122" s="9" t="str">
        <f>"10442100430"</f>
        <v>10442100430</v>
      </c>
      <c r="B122" s="10">
        <v>43.49</v>
      </c>
      <c r="C122" s="9">
        <v>10</v>
      </c>
      <c r="D122" s="9">
        <f t="shared" si="1"/>
        <v>53.49</v>
      </c>
      <c r="E122" s="12" t="s">
        <v>8</v>
      </c>
      <c r="F122" s="9"/>
    </row>
    <row r="123" s="1" customFormat="1" customHeight="1" spans="1:6">
      <c r="A123" s="9" t="str">
        <f>"10452100501"</f>
        <v>10452100501</v>
      </c>
      <c r="B123" s="10">
        <v>35</v>
      </c>
      <c r="C123" s="9">
        <v>10</v>
      </c>
      <c r="D123" s="9">
        <f t="shared" si="1"/>
        <v>45</v>
      </c>
      <c r="E123" s="12" t="s">
        <v>8</v>
      </c>
      <c r="F123" s="9"/>
    </row>
    <row r="124" s="1" customFormat="1" customHeight="1" spans="1:6">
      <c r="A124" s="9" t="str">
        <f>"10462100502"</f>
        <v>10462100502</v>
      </c>
      <c r="B124" s="10">
        <v>0</v>
      </c>
      <c r="C124" s="9"/>
      <c r="D124" s="9">
        <f t="shared" si="1"/>
        <v>0</v>
      </c>
      <c r="E124" s="11"/>
      <c r="F124" s="9" t="s">
        <v>7</v>
      </c>
    </row>
    <row r="125" s="1" customFormat="1" customHeight="1" spans="1:6">
      <c r="A125" s="9" t="str">
        <f>"10102100503"</f>
        <v>10102100503</v>
      </c>
      <c r="B125" s="10">
        <v>0</v>
      </c>
      <c r="C125" s="9"/>
      <c r="D125" s="9">
        <f t="shared" si="1"/>
        <v>0</v>
      </c>
      <c r="E125" s="11"/>
      <c r="F125" s="9" t="s">
        <v>7</v>
      </c>
    </row>
    <row r="126" s="1" customFormat="1" customHeight="1" spans="1:6">
      <c r="A126" s="9" t="str">
        <f>"10132100504"</f>
        <v>10132100504</v>
      </c>
      <c r="B126" s="10">
        <v>42.14</v>
      </c>
      <c r="C126" s="9"/>
      <c r="D126" s="9">
        <f t="shared" si="1"/>
        <v>42.14</v>
      </c>
      <c r="E126" s="11"/>
      <c r="F126" s="9"/>
    </row>
    <row r="127" s="1" customFormat="1" customHeight="1" spans="1:6">
      <c r="A127" s="9" t="str">
        <f>"10292100505"</f>
        <v>10292100505</v>
      </c>
      <c r="B127" s="10">
        <v>41.63</v>
      </c>
      <c r="C127" s="9"/>
      <c r="D127" s="9">
        <f t="shared" si="1"/>
        <v>41.63</v>
      </c>
      <c r="E127" s="11"/>
      <c r="F127" s="9"/>
    </row>
    <row r="128" s="1" customFormat="1" customHeight="1" spans="1:6">
      <c r="A128" s="9" t="str">
        <f>"10332100506"</f>
        <v>10332100506</v>
      </c>
      <c r="B128" s="10">
        <v>38.46</v>
      </c>
      <c r="C128" s="9"/>
      <c r="D128" s="9">
        <f t="shared" si="1"/>
        <v>38.46</v>
      </c>
      <c r="E128" s="11"/>
      <c r="F128" s="9"/>
    </row>
    <row r="129" s="1" customFormat="1" customHeight="1" spans="1:6">
      <c r="A129" s="9" t="str">
        <f>"10482100507"</f>
        <v>10482100507</v>
      </c>
      <c r="B129" s="10">
        <v>39.82</v>
      </c>
      <c r="C129" s="9"/>
      <c r="D129" s="9">
        <f t="shared" si="1"/>
        <v>39.82</v>
      </c>
      <c r="E129" s="11"/>
      <c r="F129" s="9"/>
    </row>
    <row r="130" s="1" customFormat="1" customHeight="1" spans="1:6">
      <c r="A130" s="9" t="str">
        <f>"10292100508"</f>
        <v>10292100508</v>
      </c>
      <c r="B130" s="10">
        <v>0</v>
      </c>
      <c r="C130" s="9"/>
      <c r="D130" s="9">
        <f t="shared" si="1"/>
        <v>0</v>
      </c>
      <c r="E130" s="11"/>
      <c r="F130" s="9" t="s">
        <v>7</v>
      </c>
    </row>
    <row r="131" s="1" customFormat="1" customHeight="1" spans="1:6">
      <c r="A131" s="9" t="str">
        <f>"10062100509"</f>
        <v>10062100509</v>
      </c>
      <c r="B131" s="10">
        <v>0</v>
      </c>
      <c r="C131" s="9"/>
      <c r="D131" s="9">
        <f t="shared" ref="D131:D194" si="2">SUM(B131:C131)</f>
        <v>0</v>
      </c>
      <c r="E131" s="11"/>
      <c r="F131" s="9" t="s">
        <v>7</v>
      </c>
    </row>
    <row r="132" s="1" customFormat="1" customHeight="1" spans="1:6">
      <c r="A132" s="9" t="str">
        <f>"10212100510"</f>
        <v>10212100510</v>
      </c>
      <c r="B132" s="10">
        <v>0</v>
      </c>
      <c r="C132" s="9"/>
      <c r="D132" s="9">
        <f t="shared" si="2"/>
        <v>0</v>
      </c>
      <c r="E132" s="11"/>
      <c r="F132" s="9" t="s">
        <v>7</v>
      </c>
    </row>
    <row r="133" s="1" customFormat="1" customHeight="1" spans="1:6">
      <c r="A133" s="9" t="str">
        <f>"10012100511"</f>
        <v>10012100511</v>
      </c>
      <c r="B133" s="10">
        <v>0</v>
      </c>
      <c r="C133" s="9"/>
      <c r="D133" s="9">
        <f t="shared" si="2"/>
        <v>0</v>
      </c>
      <c r="E133" s="11"/>
      <c r="F133" s="9" t="s">
        <v>7</v>
      </c>
    </row>
    <row r="134" s="1" customFormat="1" customHeight="1" spans="1:6">
      <c r="A134" s="9" t="str">
        <f>"10502100512"</f>
        <v>10502100512</v>
      </c>
      <c r="B134" s="10">
        <v>41.39</v>
      </c>
      <c r="C134" s="9"/>
      <c r="D134" s="9">
        <f t="shared" si="2"/>
        <v>41.39</v>
      </c>
      <c r="E134" s="11"/>
      <c r="F134" s="9"/>
    </row>
    <row r="135" s="1" customFormat="1" customHeight="1" spans="1:6">
      <c r="A135" s="9" t="str">
        <f>"10372100513"</f>
        <v>10372100513</v>
      </c>
      <c r="B135" s="10">
        <v>44.07</v>
      </c>
      <c r="C135" s="9"/>
      <c r="D135" s="9">
        <f t="shared" si="2"/>
        <v>44.07</v>
      </c>
      <c r="E135" s="11"/>
      <c r="F135" s="9"/>
    </row>
    <row r="136" s="1" customFormat="1" customHeight="1" spans="1:6">
      <c r="A136" s="9" t="str">
        <f>"10522100514"</f>
        <v>10522100514</v>
      </c>
      <c r="B136" s="10">
        <v>0</v>
      </c>
      <c r="C136" s="9"/>
      <c r="D136" s="9">
        <f t="shared" si="2"/>
        <v>0</v>
      </c>
      <c r="E136" s="11"/>
      <c r="F136" s="9" t="s">
        <v>7</v>
      </c>
    </row>
    <row r="137" s="1" customFormat="1" customHeight="1" spans="1:6">
      <c r="A137" s="9" t="str">
        <f>"10132100515"</f>
        <v>10132100515</v>
      </c>
      <c r="B137" s="10">
        <v>44.34</v>
      </c>
      <c r="C137" s="9"/>
      <c r="D137" s="9">
        <f t="shared" si="2"/>
        <v>44.34</v>
      </c>
      <c r="E137" s="11"/>
      <c r="F137" s="9"/>
    </row>
    <row r="138" s="1" customFormat="1" customHeight="1" spans="1:6">
      <c r="A138" s="9" t="str">
        <f>"10302100516"</f>
        <v>10302100516</v>
      </c>
      <c r="B138" s="10">
        <v>37.87</v>
      </c>
      <c r="C138" s="9"/>
      <c r="D138" s="9">
        <f t="shared" si="2"/>
        <v>37.87</v>
      </c>
      <c r="E138" s="11"/>
      <c r="F138" s="9"/>
    </row>
    <row r="139" s="1" customFormat="1" customHeight="1" spans="1:6">
      <c r="A139" s="9" t="str">
        <f>"10532100517"</f>
        <v>10532100517</v>
      </c>
      <c r="B139" s="10">
        <v>0</v>
      </c>
      <c r="C139" s="9"/>
      <c r="D139" s="9">
        <f t="shared" si="2"/>
        <v>0</v>
      </c>
      <c r="E139" s="11"/>
      <c r="F139" s="9" t="s">
        <v>7</v>
      </c>
    </row>
    <row r="140" s="1" customFormat="1" customHeight="1" spans="1:6">
      <c r="A140" s="9" t="str">
        <f>"10362100518"</f>
        <v>10362100518</v>
      </c>
      <c r="B140" s="10">
        <v>0</v>
      </c>
      <c r="C140" s="9"/>
      <c r="D140" s="9">
        <f t="shared" si="2"/>
        <v>0</v>
      </c>
      <c r="E140" s="11"/>
      <c r="F140" s="9" t="s">
        <v>7</v>
      </c>
    </row>
    <row r="141" s="1" customFormat="1" customHeight="1" spans="1:6">
      <c r="A141" s="9" t="str">
        <f>"10132100519"</f>
        <v>10132100519</v>
      </c>
      <c r="B141" s="10">
        <v>37.64</v>
      </c>
      <c r="C141" s="9"/>
      <c r="D141" s="9">
        <f t="shared" si="2"/>
        <v>37.64</v>
      </c>
      <c r="E141" s="11"/>
      <c r="F141" s="9"/>
    </row>
    <row r="142" s="1" customFormat="1" customHeight="1" spans="1:6">
      <c r="A142" s="9" t="str">
        <f>"10332100520"</f>
        <v>10332100520</v>
      </c>
      <c r="B142" s="10">
        <v>0</v>
      </c>
      <c r="C142" s="9"/>
      <c r="D142" s="9">
        <f t="shared" si="2"/>
        <v>0</v>
      </c>
      <c r="E142" s="11"/>
      <c r="F142" s="9" t="s">
        <v>7</v>
      </c>
    </row>
    <row r="143" s="1" customFormat="1" customHeight="1" spans="1:6">
      <c r="A143" s="9" t="str">
        <f>"10122100521"</f>
        <v>10122100521</v>
      </c>
      <c r="B143" s="10">
        <v>37.89</v>
      </c>
      <c r="C143" s="9"/>
      <c r="D143" s="9">
        <f t="shared" si="2"/>
        <v>37.89</v>
      </c>
      <c r="E143" s="11"/>
      <c r="F143" s="9"/>
    </row>
    <row r="144" s="1" customFormat="1" customHeight="1" spans="1:6">
      <c r="A144" s="9" t="str">
        <f>"10362100522"</f>
        <v>10362100522</v>
      </c>
      <c r="B144" s="10">
        <v>0</v>
      </c>
      <c r="C144" s="9"/>
      <c r="D144" s="9">
        <f t="shared" si="2"/>
        <v>0</v>
      </c>
      <c r="E144" s="11"/>
      <c r="F144" s="9" t="s">
        <v>7</v>
      </c>
    </row>
    <row r="145" s="1" customFormat="1" customHeight="1" spans="1:6">
      <c r="A145" s="9" t="str">
        <f>"10062100523"</f>
        <v>10062100523</v>
      </c>
      <c r="B145" s="10">
        <v>36.96</v>
      </c>
      <c r="C145" s="9"/>
      <c r="D145" s="9">
        <f t="shared" si="2"/>
        <v>36.96</v>
      </c>
      <c r="E145" s="11"/>
      <c r="F145" s="9"/>
    </row>
    <row r="146" s="1" customFormat="1" customHeight="1" spans="1:6">
      <c r="A146" s="9" t="str">
        <f>"10332100524"</f>
        <v>10332100524</v>
      </c>
      <c r="B146" s="10">
        <v>38.05</v>
      </c>
      <c r="C146" s="9"/>
      <c r="D146" s="9">
        <f t="shared" si="2"/>
        <v>38.05</v>
      </c>
      <c r="E146" s="11"/>
      <c r="F146" s="9"/>
    </row>
    <row r="147" s="1" customFormat="1" customHeight="1" spans="1:6">
      <c r="A147" s="9" t="str">
        <f>"10322100525"</f>
        <v>10322100525</v>
      </c>
      <c r="B147" s="10">
        <v>49.25</v>
      </c>
      <c r="C147" s="9"/>
      <c r="D147" s="9">
        <f t="shared" si="2"/>
        <v>49.25</v>
      </c>
      <c r="E147" s="11"/>
      <c r="F147" s="9"/>
    </row>
    <row r="148" s="1" customFormat="1" customHeight="1" spans="1:6">
      <c r="A148" s="9" t="str">
        <f>"10362100526"</f>
        <v>10362100526</v>
      </c>
      <c r="B148" s="10">
        <v>0</v>
      </c>
      <c r="C148" s="9"/>
      <c r="D148" s="9">
        <f t="shared" si="2"/>
        <v>0</v>
      </c>
      <c r="E148" s="11"/>
      <c r="F148" s="9" t="s">
        <v>7</v>
      </c>
    </row>
    <row r="149" s="1" customFormat="1" customHeight="1" spans="1:6">
      <c r="A149" s="9" t="str">
        <f>"10282100527"</f>
        <v>10282100527</v>
      </c>
      <c r="B149" s="10">
        <v>37.88</v>
      </c>
      <c r="C149" s="9">
        <v>10</v>
      </c>
      <c r="D149" s="9">
        <f t="shared" si="2"/>
        <v>47.88</v>
      </c>
      <c r="E149" s="12" t="s">
        <v>8</v>
      </c>
      <c r="F149" s="9"/>
    </row>
    <row r="150" s="1" customFormat="1" customHeight="1" spans="1:6">
      <c r="A150" s="9" t="str">
        <f>"10302100528"</f>
        <v>10302100528</v>
      </c>
      <c r="B150" s="10">
        <v>42.33</v>
      </c>
      <c r="C150" s="9"/>
      <c r="D150" s="9">
        <f t="shared" si="2"/>
        <v>42.33</v>
      </c>
      <c r="E150" s="11"/>
      <c r="F150" s="9"/>
    </row>
    <row r="151" s="1" customFormat="1" customHeight="1" spans="1:6">
      <c r="A151" s="9" t="str">
        <f>"10512100529"</f>
        <v>10512100529</v>
      </c>
      <c r="B151" s="10">
        <v>39.01</v>
      </c>
      <c r="C151" s="9"/>
      <c r="D151" s="9">
        <f t="shared" si="2"/>
        <v>39.01</v>
      </c>
      <c r="E151" s="11"/>
      <c r="F151" s="9"/>
    </row>
    <row r="152" s="1" customFormat="1" customHeight="1" spans="1:6">
      <c r="A152" s="9" t="str">
        <f>"10532100530"</f>
        <v>10532100530</v>
      </c>
      <c r="B152" s="10">
        <v>0</v>
      </c>
      <c r="C152" s="9">
        <v>10</v>
      </c>
      <c r="D152" s="9">
        <f t="shared" si="2"/>
        <v>10</v>
      </c>
      <c r="E152" s="12" t="s">
        <v>8</v>
      </c>
      <c r="F152" s="9" t="s">
        <v>7</v>
      </c>
    </row>
    <row r="153" s="1" customFormat="1" customHeight="1" spans="1:6">
      <c r="A153" s="9" t="str">
        <f>"10402100601"</f>
        <v>10402100601</v>
      </c>
      <c r="B153" s="10">
        <v>0</v>
      </c>
      <c r="C153" s="9"/>
      <c r="D153" s="9">
        <f t="shared" si="2"/>
        <v>0</v>
      </c>
      <c r="E153" s="11"/>
      <c r="F153" s="9" t="s">
        <v>7</v>
      </c>
    </row>
    <row r="154" s="1" customFormat="1" customHeight="1" spans="1:6">
      <c r="A154" s="9" t="str">
        <f>"10242100602"</f>
        <v>10242100602</v>
      </c>
      <c r="B154" s="10">
        <v>32.59</v>
      </c>
      <c r="C154" s="9"/>
      <c r="D154" s="9">
        <f t="shared" si="2"/>
        <v>32.59</v>
      </c>
      <c r="E154" s="11"/>
      <c r="F154" s="9"/>
    </row>
    <row r="155" s="1" customFormat="1" customHeight="1" spans="1:6">
      <c r="A155" s="9" t="str">
        <f>"10322100603"</f>
        <v>10322100603</v>
      </c>
      <c r="B155" s="10">
        <v>40.57</v>
      </c>
      <c r="C155" s="9"/>
      <c r="D155" s="9">
        <f t="shared" si="2"/>
        <v>40.57</v>
      </c>
      <c r="E155" s="11"/>
      <c r="F155" s="9"/>
    </row>
    <row r="156" s="1" customFormat="1" customHeight="1" spans="1:6">
      <c r="A156" s="9" t="str">
        <f>"10302100604"</f>
        <v>10302100604</v>
      </c>
      <c r="B156" s="10">
        <v>44.84</v>
      </c>
      <c r="C156" s="9"/>
      <c r="D156" s="9">
        <f t="shared" si="2"/>
        <v>44.84</v>
      </c>
      <c r="E156" s="11"/>
      <c r="F156" s="9"/>
    </row>
    <row r="157" s="1" customFormat="1" customHeight="1" spans="1:6">
      <c r="A157" s="9" t="str">
        <f>"10362100605"</f>
        <v>10362100605</v>
      </c>
      <c r="B157" s="10">
        <v>29.28</v>
      </c>
      <c r="C157" s="9"/>
      <c r="D157" s="9">
        <f t="shared" si="2"/>
        <v>29.28</v>
      </c>
      <c r="E157" s="11"/>
      <c r="F157" s="9"/>
    </row>
    <row r="158" s="1" customFormat="1" customHeight="1" spans="1:6">
      <c r="A158" s="9" t="str">
        <f>"10512100606"</f>
        <v>10512100606</v>
      </c>
      <c r="B158" s="10">
        <v>42.2</v>
      </c>
      <c r="C158" s="9"/>
      <c r="D158" s="9">
        <f t="shared" si="2"/>
        <v>42.2</v>
      </c>
      <c r="E158" s="11"/>
      <c r="F158" s="9"/>
    </row>
    <row r="159" s="1" customFormat="1" customHeight="1" spans="1:6">
      <c r="A159" s="9" t="str">
        <f>"10062100607"</f>
        <v>10062100607</v>
      </c>
      <c r="B159" s="10">
        <v>40.9</v>
      </c>
      <c r="C159" s="9"/>
      <c r="D159" s="9">
        <f t="shared" si="2"/>
        <v>40.9</v>
      </c>
      <c r="E159" s="11"/>
      <c r="F159" s="9"/>
    </row>
    <row r="160" s="1" customFormat="1" customHeight="1" spans="1:6">
      <c r="A160" s="9" t="str">
        <f>"10312100608"</f>
        <v>10312100608</v>
      </c>
      <c r="B160" s="10">
        <v>51.22</v>
      </c>
      <c r="C160" s="9"/>
      <c r="D160" s="9">
        <f t="shared" si="2"/>
        <v>51.22</v>
      </c>
      <c r="E160" s="11"/>
      <c r="F160" s="9"/>
    </row>
    <row r="161" s="1" customFormat="1" customHeight="1" spans="1:6">
      <c r="A161" s="9" t="str">
        <f>"10512100609"</f>
        <v>10512100609</v>
      </c>
      <c r="B161" s="10">
        <v>45.11</v>
      </c>
      <c r="C161" s="9"/>
      <c r="D161" s="9">
        <f t="shared" si="2"/>
        <v>45.11</v>
      </c>
      <c r="E161" s="11"/>
      <c r="F161" s="9"/>
    </row>
    <row r="162" s="1" customFormat="1" customHeight="1" spans="1:6">
      <c r="A162" s="9" t="str">
        <f>"10442100610"</f>
        <v>10442100610</v>
      </c>
      <c r="B162" s="10">
        <v>0</v>
      </c>
      <c r="C162" s="9"/>
      <c r="D162" s="9">
        <f t="shared" si="2"/>
        <v>0</v>
      </c>
      <c r="E162" s="11"/>
      <c r="F162" s="9" t="s">
        <v>7</v>
      </c>
    </row>
    <row r="163" s="1" customFormat="1" customHeight="1" spans="1:6">
      <c r="A163" s="9" t="str">
        <f>"10362100611"</f>
        <v>10362100611</v>
      </c>
      <c r="B163" s="10">
        <v>43.07</v>
      </c>
      <c r="C163" s="9">
        <v>10</v>
      </c>
      <c r="D163" s="9">
        <f t="shared" si="2"/>
        <v>53.07</v>
      </c>
      <c r="E163" s="12" t="s">
        <v>8</v>
      </c>
      <c r="F163" s="9"/>
    </row>
    <row r="164" s="1" customFormat="1" customHeight="1" spans="1:6">
      <c r="A164" s="9" t="str">
        <f>"10082100612"</f>
        <v>10082100612</v>
      </c>
      <c r="B164" s="10">
        <v>0</v>
      </c>
      <c r="C164" s="9"/>
      <c r="D164" s="9">
        <f t="shared" si="2"/>
        <v>0</v>
      </c>
      <c r="E164" s="11"/>
      <c r="F164" s="9" t="s">
        <v>7</v>
      </c>
    </row>
    <row r="165" s="1" customFormat="1" customHeight="1" spans="1:6">
      <c r="A165" s="9" t="str">
        <f>"10362100613"</f>
        <v>10362100613</v>
      </c>
      <c r="B165" s="10">
        <v>29.78</v>
      </c>
      <c r="C165" s="9"/>
      <c r="D165" s="9">
        <f t="shared" si="2"/>
        <v>29.78</v>
      </c>
      <c r="E165" s="11"/>
      <c r="F165" s="9"/>
    </row>
    <row r="166" s="1" customFormat="1" customHeight="1" spans="1:6">
      <c r="A166" s="9" t="str">
        <f>"10072100614"</f>
        <v>10072100614</v>
      </c>
      <c r="B166" s="10">
        <v>45.46</v>
      </c>
      <c r="C166" s="9"/>
      <c r="D166" s="9">
        <f t="shared" si="2"/>
        <v>45.46</v>
      </c>
      <c r="E166" s="11"/>
      <c r="F166" s="9"/>
    </row>
    <row r="167" s="1" customFormat="1" customHeight="1" spans="1:6">
      <c r="A167" s="9" t="str">
        <f>"10062100615"</f>
        <v>10062100615</v>
      </c>
      <c r="B167" s="10">
        <v>41.35</v>
      </c>
      <c r="C167" s="9"/>
      <c r="D167" s="9">
        <f t="shared" si="2"/>
        <v>41.35</v>
      </c>
      <c r="E167" s="11"/>
      <c r="F167" s="9"/>
    </row>
    <row r="168" s="1" customFormat="1" customHeight="1" spans="1:6">
      <c r="A168" s="9" t="str">
        <f>"10432100616"</f>
        <v>10432100616</v>
      </c>
      <c r="B168" s="10">
        <v>41.54</v>
      </c>
      <c r="C168" s="9"/>
      <c r="D168" s="9">
        <f t="shared" si="2"/>
        <v>41.54</v>
      </c>
      <c r="E168" s="11"/>
      <c r="F168" s="9"/>
    </row>
    <row r="169" s="1" customFormat="1" customHeight="1" spans="1:6">
      <c r="A169" s="9" t="str">
        <f>"10362100617"</f>
        <v>10362100617</v>
      </c>
      <c r="B169" s="10">
        <v>44.26</v>
      </c>
      <c r="C169" s="9"/>
      <c r="D169" s="9">
        <f t="shared" si="2"/>
        <v>44.26</v>
      </c>
      <c r="E169" s="11"/>
      <c r="F169" s="9"/>
    </row>
    <row r="170" s="1" customFormat="1" customHeight="1" spans="1:6">
      <c r="A170" s="9" t="str">
        <f>"10532100618"</f>
        <v>10532100618</v>
      </c>
      <c r="B170" s="10">
        <v>0</v>
      </c>
      <c r="C170" s="9"/>
      <c r="D170" s="9">
        <f t="shared" si="2"/>
        <v>0</v>
      </c>
      <c r="E170" s="11"/>
      <c r="F170" s="9" t="s">
        <v>7</v>
      </c>
    </row>
    <row r="171" s="1" customFormat="1" customHeight="1" spans="1:6">
      <c r="A171" s="9" t="str">
        <f>"10172100619"</f>
        <v>10172100619</v>
      </c>
      <c r="B171" s="10">
        <v>37.15</v>
      </c>
      <c r="C171" s="9"/>
      <c r="D171" s="9">
        <f t="shared" si="2"/>
        <v>37.15</v>
      </c>
      <c r="E171" s="11"/>
      <c r="F171" s="9"/>
    </row>
    <row r="172" s="1" customFormat="1" customHeight="1" spans="1:6">
      <c r="A172" s="9" t="str">
        <f>"10212100620"</f>
        <v>10212100620</v>
      </c>
      <c r="B172" s="10">
        <v>50.54</v>
      </c>
      <c r="C172" s="9"/>
      <c r="D172" s="9">
        <f t="shared" si="2"/>
        <v>50.54</v>
      </c>
      <c r="E172" s="11"/>
      <c r="F172" s="9"/>
    </row>
    <row r="173" s="1" customFormat="1" customHeight="1" spans="1:6">
      <c r="A173" s="9" t="str">
        <f>"10072100621"</f>
        <v>10072100621</v>
      </c>
      <c r="B173" s="10">
        <v>40.15</v>
      </c>
      <c r="C173" s="9"/>
      <c r="D173" s="9">
        <f t="shared" si="2"/>
        <v>40.15</v>
      </c>
      <c r="E173" s="11"/>
      <c r="F173" s="9"/>
    </row>
    <row r="174" s="1" customFormat="1" customHeight="1" spans="1:6">
      <c r="A174" s="9" t="str">
        <f>"10362100622"</f>
        <v>10362100622</v>
      </c>
      <c r="B174" s="10">
        <v>33.97</v>
      </c>
      <c r="C174" s="9"/>
      <c r="D174" s="9">
        <f t="shared" si="2"/>
        <v>33.97</v>
      </c>
      <c r="E174" s="11"/>
      <c r="F174" s="9"/>
    </row>
    <row r="175" s="1" customFormat="1" customHeight="1" spans="1:6">
      <c r="A175" s="9" t="str">
        <f>"10112100623"</f>
        <v>10112100623</v>
      </c>
      <c r="B175" s="10">
        <v>36.45</v>
      </c>
      <c r="C175" s="9"/>
      <c r="D175" s="9">
        <f t="shared" si="2"/>
        <v>36.45</v>
      </c>
      <c r="E175" s="11"/>
      <c r="F175" s="9"/>
    </row>
    <row r="176" s="1" customFormat="1" customHeight="1" spans="1:6">
      <c r="A176" s="9" t="str">
        <f>"10362100624"</f>
        <v>10362100624</v>
      </c>
      <c r="B176" s="10">
        <v>43.87</v>
      </c>
      <c r="C176" s="9"/>
      <c r="D176" s="9">
        <f t="shared" si="2"/>
        <v>43.87</v>
      </c>
      <c r="E176" s="11"/>
      <c r="F176" s="9"/>
    </row>
    <row r="177" s="1" customFormat="1" customHeight="1" spans="1:6">
      <c r="A177" s="9" t="str">
        <f>"10272100625"</f>
        <v>10272100625</v>
      </c>
      <c r="B177" s="10">
        <v>35.97</v>
      </c>
      <c r="C177" s="9"/>
      <c r="D177" s="9">
        <f t="shared" si="2"/>
        <v>35.97</v>
      </c>
      <c r="E177" s="11"/>
      <c r="F177" s="9"/>
    </row>
    <row r="178" s="1" customFormat="1" customHeight="1" spans="1:6">
      <c r="A178" s="9" t="str">
        <f>"10132100626"</f>
        <v>10132100626</v>
      </c>
      <c r="B178" s="10">
        <v>46.51</v>
      </c>
      <c r="C178" s="9"/>
      <c r="D178" s="9">
        <f t="shared" si="2"/>
        <v>46.51</v>
      </c>
      <c r="E178" s="11"/>
      <c r="F178" s="9"/>
    </row>
    <row r="179" s="1" customFormat="1" customHeight="1" spans="1:6">
      <c r="A179" s="9" t="str">
        <f>"10362100627"</f>
        <v>10362100627</v>
      </c>
      <c r="B179" s="10">
        <v>0</v>
      </c>
      <c r="C179" s="9"/>
      <c r="D179" s="9">
        <f t="shared" si="2"/>
        <v>0</v>
      </c>
      <c r="E179" s="11"/>
      <c r="F179" s="9" t="s">
        <v>7</v>
      </c>
    </row>
    <row r="180" s="1" customFormat="1" customHeight="1" spans="1:6">
      <c r="A180" s="9" t="str">
        <f>"10062100628"</f>
        <v>10062100628</v>
      </c>
      <c r="B180" s="10">
        <v>0</v>
      </c>
      <c r="C180" s="9"/>
      <c r="D180" s="9">
        <f t="shared" si="2"/>
        <v>0</v>
      </c>
      <c r="E180" s="11"/>
      <c r="F180" s="9" t="s">
        <v>7</v>
      </c>
    </row>
    <row r="181" s="1" customFormat="1" customHeight="1" spans="1:6">
      <c r="A181" s="9" t="str">
        <f>"10212100629"</f>
        <v>10212100629</v>
      </c>
      <c r="B181" s="10">
        <v>46.57</v>
      </c>
      <c r="C181" s="9"/>
      <c r="D181" s="9">
        <f t="shared" si="2"/>
        <v>46.57</v>
      </c>
      <c r="E181" s="11"/>
      <c r="F181" s="9"/>
    </row>
    <row r="182" s="1" customFormat="1" customHeight="1" spans="1:6">
      <c r="A182" s="9" t="str">
        <f>"10062100630"</f>
        <v>10062100630</v>
      </c>
      <c r="B182" s="10">
        <v>33.19</v>
      </c>
      <c r="C182" s="9"/>
      <c r="D182" s="9">
        <f t="shared" si="2"/>
        <v>33.19</v>
      </c>
      <c r="E182" s="11"/>
      <c r="F182" s="9"/>
    </row>
    <row r="183" s="1" customFormat="1" customHeight="1" spans="1:6">
      <c r="A183" s="9" t="str">
        <f>"10112100701"</f>
        <v>10112100701</v>
      </c>
      <c r="B183" s="10">
        <v>0</v>
      </c>
      <c r="C183" s="9"/>
      <c r="D183" s="9">
        <f t="shared" si="2"/>
        <v>0</v>
      </c>
      <c r="E183" s="11"/>
      <c r="F183" s="9" t="s">
        <v>7</v>
      </c>
    </row>
    <row r="184" s="1" customFormat="1" customHeight="1" spans="1:6">
      <c r="A184" s="9" t="str">
        <f>"10392100702"</f>
        <v>10392100702</v>
      </c>
      <c r="B184" s="10">
        <v>42.45</v>
      </c>
      <c r="C184" s="9"/>
      <c r="D184" s="9">
        <f t="shared" si="2"/>
        <v>42.45</v>
      </c>
      <c r="E184" s="11"/>
      <c r="F184" s="9"/>
    </row>
    <row r="185" s="1" customFormat="1" customHeight="1" spans="1:6">
      <c r="A185" s="9" t="str">
        <f>"10502100703"</f>
        <v>10502100703</v>
      </c>
      <c r="B185" s="10">
        <v>0</v>
      </c>
      <c r="C185" s="9"/>
      <c r="D185" s="9">
        <f t="shared" si="2"/>
        <v>0</v>
      </c>
      <c r="E185" s="11"/>
      <c r="F185" s="9" t="s">
        <v>7</v>
      </c>
    </row>
    <row r="186" s="1" customFormat="1" customHeight="1" spans="1:6">
      <c r="A186" s="9" t="str">
        <f>"10502100704"</f>
        <v>10502100704</v>
      </c>
      <c r="B186" s="10">
        <v>0</v>
      </c>
      <c r="C186" s="9"/>
      <c r="D186" s="9">
        <f t="shared" si="2"/>
        <v>0</v>
      </c>
      <c r="E186" s="11"/>
      <c r="F186" s="9" t="s">
        <v>7</v>
      </c>
    </row>
    <row r="187" s="1" customFormat="1" customHeight="1" spans="1:6">
      <c r="A187" s="9" t="str">
        <f>"10262100705"</f>
        <v>10262100705</v>
      </c>
      <c r="B187" s="10">
        <v>47.97</v>
      </c>
      <c r="C187" s="9"/>
      <c r="D187" s="9">
        <f t="shared" si="2"/>
        <v>47.97</v>
      </c>
      <c r="E187" s="11"/>
      <c r="F187" s="9"/>
    </row>
    <row r="188" s="1" customFormat="1" customHeight="1" spans="1:6">
      <c r="A188" s="9" t="str">
        <f>"10142100706"</f>
        <v>10142100706</v>
      </c>
      <c r="B188" s="10">
        <v>33.9</v>
      </c>
      <c r="C188" s="9"/>
      <c r="D188" s="9">
        <f t="shared" si="2"/>
        <v>33.9</v>
      </c>
      <c r="E188" s="11"/>
      <c r="F188" s="9"/>
    </row>
    <row r="189" s="1" customFormat="1" customHeight="1" spans="1:6">
      <c r="A189" s="9" t="str">
        <f>"10052100707"</f>
        <v>10052100707</v>
      </c>
      <c r="B189" s="10">
        <v>0</v>
      </c>
      <c r="C189" s="9"/>
      <c r="D189" s="9">
        <f t="shared" si="2"/>
        <v>0</v>
      </c>
      <c r="E189" s="11"/>
      <c r="F189" s="9" t="s">
        <v>7</v>
      </c>
    </row>
    <row r="190" s="1" customFormat="1" customHeight="1" spans="1:6">
      <c r="A190" s="9" t="str">
        <f>"10362100708"</f>
        <v>10362100708</v>
      </c>
      <c r="B190" s="10">
        <v>35.22</v>
      </c>
      <c r="C190" s="9"/>
      <c r="D190" s="9">
        <f t="shared" si="2"/>
        <v>35.22</v>
      </c>
      <c r="E190" s="11"/>
      <c r="F190" s="9"/>
    </row>
    <row r="191" s="1" customFormat="1" customHeight="1" spans="1:6">
      <c r="A191" s="9" t="str">
        <f>"10132100709"</f>
        <v>10132100709</v>
      </c>
      <c r="B191" s="10">
        <v>38.87</v>
      </c>
      <c r="C191" s="9"/>
      <c r="D191" s="9">
        <f t="shared" si="2"/>
        <v>38.87</v>
      </c>
      <c r="E191" s="11"/>
      <c r="F191" s="9"/>
    </row>
    <row r="192" s="1" customFormat="1" customHeight="1" spans="1:6">
      <c r="A192" s="9" t="str">
        <f>"10112100710"</f>
        <v>10112100710</v>
      </c>
      <c r="B192" s="10">
        <v>0</v>
      </c>
      <c r="C192" s="9"/>
      <c r="D192" s="9">
        <f t="shared" si="2"/>
        <v>0</v>
      </c>
      <c r="E192" s="11"/>
      <c r="F192" s="9" t="s">
        <v>7</v>
      </c>
    </row>
    <row r="193" s="1" customFormat="1" customHeight="1" spans="1:6">
      <c r="A193" s="9" t="str">
        <f>"10322100711"</f>
        <v>10322100711</v>
      </c>
      <c r="B193" s="10">
        <v>29.69</v>
      </c>
      <c r="C193" s="9"/>
      <c r="D193" s="9">
        <f t="shared" si="2"/>
        <v>29.69</v>
      </c>
      <c r="E193" s="11"/>
      <c r="F193" s="9"/>
    </row>
    <row r="194" s="1" customFormat="1" customHeight="1" spans="1:6">
      <c r="A194" s="9" t="str">
        <f>"10302100712"</f>
        <v>10302100712</v>
      </c>
      <c r="B194" s="10">
        <v>45.36</v>
      </c>
      <c r="C194" s="9"/>
      <c r="D194" s="9">
        <f t="shared" si="2"/>
        <v>45.36</v>
      </c>
      <c r="E194" s="11"/>
      <c r="F194" s="9"/>
    </row>
    <row r="195" s="1" customFormat="1" customHeight="1" spans="1:6">
      <c r="A195" s="9" t="str">
        <f>"10112100713"</f>
        <v>10112100713</v>
      </c>
      <c r="B195" s="10">
        <v>0</v>
      </c>
      <c r="C195" s="9"/>
      <c r="D195" s="9">
        <f t="shared" ref="D195:D258" si="3">SUM(B195:C195)</f>
        <v>0</v>
      </c>
      <c r="E195" s="11"/>
      <c r="F195" s="9" t="s">
        <v>7</v>
      </c>
    </row>
    <row r="196" s="1" customFormat="1" customHeight="1" spans="1:6">
      <c r="A196" s="9" t="str">
        <f>"10012100714"</f>
        <v>10012100714</v>
      </c>
      <c r="B196" s="10">
        <v>0</v>
      </c>
      <c r="C196" s="9"/>
      <c r="D196" s="9">
        <f t="shared" si="3"/>
        <v>0</v>
      </c>
      <c r="E196" s="11"/>
      <c r="F196" s="9" t="s">
        <v>7</v>
      </c>
    </row>
    <row r="197" s="1" customFormat="1" customHeight="1" spans="1:6">
      <c r="A197" s="9" t="str">
        <f>"10472100715"</f>
        <v>10472100715</v>
      </c>
      <c r="B197" s="10">
        <v>0</v>
      </c>
      <c r="C197" s="9"/>
      <c r="D197" s="9">
        <f t="shared" si="3"/>
        <v>0</v>
      </c>
      <c r="E197" s="11"/>
      <c r="F197" s="9" t="s">
        <v>7</v>
      </c>
    </row>
    <row r="198" s="1" customFormat="1" customHeight="1" spans="1:6">
      <c r="A198" s="9" t="str">
        <f>"10012100716"</f>
        <v>10012100716</v>
      </c>
      <c r="B198" s="10">
        <v>48.04</v>
      </c>
      <c r="C198" s="9"/>
      <c r="D198" s="9">
        <f t="shared" si="3"/>
        <v>48.04</v>
      </c>
      <c r="E198" s="11"/>
      <c r="F198" s="9"/>
    </row>
    <row r="199" s="1" customFormat="1" customHeight="1" spans="1:6">
      <c r="A199" s="9" t="str">
        <f>"10422100717"</f>
        <v>10422100717</v>
      </c>
      <c r="B199" s="10">
        <v>39.27</v>
      </c>
      <c r="C199" s="9"/>
      <c r="D199" s="9">
        <f t="shared" si="3"/>
        <v>39.27</v>
      </c>
      <c r="E199" s="11"/>
      <c r="F199" s="9"/>
    </row>
    <row r="200" s="1" customFormat="1" customHeight="1" spans="1:6">
      <c r="A200" s="9" t="str">
        <f>"10532100718"</f>
        <v>10532100718</v>
      </c>
      <c r="B200" s="10">
        <v>27.47</v>
      </c>
      <c r="C200" s="9">
        <v>10</v>
      </c>
      <c r="D200" s="9">
        <f t="shared" si="3"/>
        <v>37.47</v>
      </c>
      <c r="E200" s="12" t="s">
        <v>8</v>
      </c>
      <c r="F200" s="9"/>
    </row>
    <row r="201" s="1" customFormat="1" customHeight="1" spans="1:6">
      <c r="A201" s="9" t="str">
        <f>"10412100719"</f>
        <v>10412100719</v>
      </c>
      <c r="B201" s="10">
        <v>40.64</v>
      </c>
      <c r="C201" s="9"/>
      <c r="D201" s="9">
        <f t="shared" si="3"/>
        <v>40.64</v>
      </c>
      <c r="E201" s="11"/>
      <c r="F201" s="9"/>
    </row>
    <row r="202" s="1" customFormat="1" customHeight="1" spans="1:6">
      <c r="A202" s="9" t="str">
        <f>"10532100720"</f>
        <v>10532100720</v>
      </c>
      <c r="B202" s="10">
        <v>40.13</v>
      </c>
      <c r="C202" s="9"/>
      <c r="D202" s="9">
        <f t="shared" si="3"/>
        <v>40.13</v>
      </c>
      <c r="E202" s="11"/>
      <c r="F202" s="9"/>
    </row>
    <row r="203" s="1" customFormat="1" customHeight="1" spans="1:6">
      <c r="A203" s="9" t="str">
        <f>"10042100721"</f>
        <v>10042100721</v>
      </c>
      <c r="B203" s="10">
        <v>38.43</v>
      </c>
      <c r="C203" s="9"/>
      <c r="D203" s="9">
        <f t="shared" si="3"/>
        <v>38.43</v>
      </c>
      <c r="E203" s="11"/>
      <c r="F203" s="9"/>
    </row>
    <row r="204" s="1" customFormat="1" customHeight="1" spans="1:6">
      <c r="A204" s="9" t="str">
        <f>"10442100722"</f>
        <v>10442100722</v>
      </c>
      <c r="B204" s="10">
        <v>0</v>
      </c>
      <c r="C204" s="9"/>
      <c r="D204" s="9">
        <f t="shared" si="3"/>
        <v>0</v>
      </c>
      <c r="E204" s="11"/>
      <c r="F204" s="9" t="s">
        <v>7</v>
      </c>
    </row>
    <row r="205" s="1" customFormat="1" customHeight="1" spans="1:6">
      <c r="A205" s="9" t="str">
        <f>"10532100723"</f>
        <v>10532100723</v>
      </c>
      <c r="B205" s="10">
        <v>0</v>
      </c>
      <c r="C205" s="9"/>
      <c r="D205" s="9">
        <f t="shared" si="3"/>
        <v>0</v>
      </c>
      <c r="E205" s="11"/>
      <c r="F205" s="9" t="s">
        <v>7</v>
      </c>
    </row>
    <row r="206" s="1" customFormat="1" customHeight="1" spans="1:6">
      <c r="A206" s="9" t="str">
        <f>"10102100724"</f>
        <v>10102100724</v>
      </c>
      <c r="B206" s="10">
        <v>0</v>
      </c>
      <c r="C206" s="9"/>
      <c r="D206" s="9">
        <f t="shared" si="3"/>
        <v>0</v>
      </c>
      <c r="E206" s="11"/>
      <c r="F206" s="9" t="s">
        <v>7</v>
      </c>
    </row>
    <row r="207" s="1" customFormat="1" customHeight="1" spans="1:6">
      <c r="A207" s="9" t="str">
        <f>"10442100725"</f>
        <v>10442100725</v>
      </c>
      <c r="B207" s="10">
        <v>36.48</v>
      </c>
      <c r="C207" s="9"/>
      <c r="D207" s="9">
        <f t="shared" si="3"/>
        <v>36.48</v>
      </c>
      <c r="E207" s="11"/>
      <c r="F207" s="9"/>
    </row>
    <row r="208" s="1" customFormat="1" customHeight="1" spans="1:6">
      <c r="A208" s="9" t="str">
        <f>"10232100726"</f>
        <v>10232100726</v>
      </c>
      <c r="B208" s="10">
        <v>0</v>
      </c>
      <c r="C208" s="9"/>
      <c r="D208" s="9">
        <f t="shared" si="3"/>
        <v>0</v>
      </c>
      <c r="E208" s="11"/>
      <c r="F208" s="9" t="s">
        <v>7</v>
      </c>
    </row>
    <row r="209" s="1" customFormat="1" customHeight="1" spans="1:6">
      <c r="A209" s="9" t="str">
        <f>"10362100727"</f>
        <v>10362100727</v>
      </c>
      <c r="B209" s="10">
        <v>0</v>
      </c>
      <c r="C209" s="9"/>
      <c r="D209" s="9">
        <f t="shared" si="3"/>
        <v>0</v>
      </c>
      <c r="E209" s="11"/>
      <c r="F209" s="9" t="s">
        <v>7</v>
      </c>
    </row>
    <row r="210" s="1" customFormat="1" customHeight="1" spans="1:6">
      <c r="A210" s="9" t="str">
        <f>"10212100728"</f>
        <v>10212100728</v>
      </c>
      <c r="B210" s="10">
        <v>0</v>
      </c>
      <c r="C210" s="9"/>
      <c r="D210" s="9">
        <f t="shared" si="3"/>
        <v>0</v>
      </c>
      <c r="E210" s="11"/>
      <c r="F210" s="9" t="s">
        <v>7</v>
      </c>
    </row>
    <row r="211" s="1" customFormat="1" customHeight="1" spans="1:6">
      <c r="A211" s="9" t="str">
        <f>"10212100729"</f>
        <v>10212100729</v>
      </c>
      <c r="B211" s="10">
        <v>45.91</v>
      </c>
      <c r="C211" s="9"/>
      <c r="D211" s="9">
        <f t="shared" si="3"/>
        <v>45.91</v>
      </c>
      <c r="E211" s="11"/>
      <c r="F211" s="9"/>
    </row>
    <row r="212" s="1" customFormat="1" customHeight="1" spans="1:6">
      <c r="A212" s="9" t="str">
        <f>"20272100730"</f>
        <v>20272100730</v>
      </c>
      <c r="B212" s="10">
        <v>40.83</v>
      </c>
      <c r="C212" s="9"/>
      <c r="D212" s="9">
        <f t="shared" si="3"/>
        <v>40.83</v>
      </c>
      <c r="E212" s="11"/>
      <c r="F212" s="9"/>
    </row>
    <row r="213" s="1" customFormat="1" customHeight="1" spans="1:6">
      <c r="A213" s="9" t="str">
        <f>"20272100801"</f>
        <v>20272100801</v>
      </c>
      <c r="B213" s="10">
        <v>32.17</v>
      </c>
      <c r="C213" s="9"/>
      <c r="D213" s="9">
        <f t="shared" si="3"/>
        <v>32.17</v>
      </c>
      <c r="E213" s="11"/>
      <c r="F213" s="9"/>
    </row>
    <row r="214" s="1" customFormat="1" customHeight="1" spans="1:6">
      <c r="A214" s="9" t="str">
        <f>"10022100802"</f>
        <v>10022100802</v>
      </c>
      <c r="B214" s="10">
        <v>43.36</v>
      </c>
      <c r="C214" s="9"/>
      <c r="D214" s="9">
        <f t="shared" si="3"/>
        <v>43.36</v>
      </c>
      <c r="E214" s="11"/>
      <c r="F214" s="9"/>
    </row>
    <row r="215" s="1" customFormat="1" customHeight="1" spans="1:6">
      <c r="A215" s="9" t="str">
        <f>"10242100803"</f>
        <v>10242100803</v>
      </c>
      <c r="B215" s="10">
        <v>33.48</v>
      </c>
      <c r="C215" s="9"/>
      <c r="D215" s="9">
        <f t="shared" si="3"/>
        <v>33.48</v>
      </c>
      <c r="E215" s="11"/>
      <c r="F215" s="9"/>
    </row>
    <row r="216" s="1" customFormat="1" customHeight="1" spans="1:6">
      <c r="A216" s="9" t="str">
        <f>"10512100804"</f>
        <v>10512100804</v>
      </c>
      <c r="B216" s="10">
        <v>26.22</v>
      </c>
      <c r="C216" s="9"/>
      <c r="D216" s="9">
        <f t="shared" si="3"/>
        <v>26.22</v>
      </c>
      <c r="E216" s="11"/>
      <c r="F216" s="9"/>
    </row>
    <row r="217" s="1" customFormat="1" customHeight="1" spans="1:6">
      <c r="A217" s="9" t="str">
        <f>"10442100805"</f>
        <v>10442100805</v>
      </c>
      <c r="B217" s="10">
        <v>45.11</v>
      </c>
      <c r="C217" s="9"/>
      <c r="D217" s="9">
        <f t="shared" si="3"/>
        <v>45.11</v>
      </c>
      <c r="E217" s="11"/>
      <c r="F217" s="9"/>
    </row>
    <row r="218" s="1" customFormat="1" customHeight="1" spans="1:6">
      <c r="A218" s="9" t="str">
        <f>"10112100806"</f>
        <v>10112100806</v>
      </c>
      <c r="B218" s="10">
        <v>0</v>
      </c>
      <c r="C218" s="9"/>
      <c r="D218" s="9">
        <f t="shared" si="3"/>
        <v>0</v>
      </c>
      <c r="E218" s="11"/>
      <c r="F218" s="9" t="s">
        <v>7</v>
      </c>
    </row>
    <row r="219" s="1" customFormat="1" customHeight="1" spans="1:6">
      <c r="A219" s="9" t="str">
        <f>"10102100807"</f>
        <v>10102100807</v>
      </c>
      <c r="B219" s="10">
        <v>48.82</v>
      </c>
      <c r="C219" s="9"/>
      <c r="D219" s="9">
        <f t="shared" si="3"/>
        <v>48.82</v>
      </c>
      <c r="E219" s="11"/>
      <c r="F219" s="9"/>
    </row>
    <row r="220" s="1" customFormat="1" customHeight="1" spans="1:6">
      <c r="A220" s="9" t="str">
        <f>"10362100808"</f>
        <v>10362100808</v>
      </c>
      <c r="B220" s="10">
        <v>0</v>
      </c>
      <c r="C220" s="9"/>
      <c r="D220" s="9">
        <f t="shared" si="3"/>
        <v>0</v>
      </c>
      <c r="E220" s="11"/>
      <c r="F220" s="9" t="s">
        <v>7</v>
      </c>
    </row>
    <row r="221" s="1" customFormat="1" customHeight="1" spans="1:6">
      <c r="A221" s="9" t="str">
        <f>"10282100809"</f>
        <v>10282100809</v>
      </c>
      <c r="B221" s="10">
        <v>37.53</v>
      </c>
      <c r="C221" s="9"/>
      <c r="D221" s="9">
        <f t="shared" si="3"/>
        <v>37.53</v>
      </c>
      <c r="E221" s="11"/>
      <c r="F221" s="9"/>
    </row>
    <row r="222" s="1" customFormat="1" customHeight="1" spans="1:6">
      <c r="A222" s="9" t="str">
        <f>"10362100810"</f>
        <v>10362100810</v>
      </c>
      <c r="B222" s="10">
        <v>0</v>
      </c>
      <c r="C222" s="9"/>
      <c r="D222" s="9">
        <f t="shared" si="3"/>
        <v>0</v>
      </c>
      <c r="E222" s="11"/>
      <c r="F222" s="9" t="s">
        <v>7</v>
      </c>
    </row>
    <row r="223" s="1" customFormat="1" customHeight="1" spans="1:6">
      <c r="A223" s="9" t="str">
        <f>"10512100811"</f>
        <v>10512100811</v>
      </c>
      <c r="B223" s="10">
        <v>41.87</v>
      </c>
      <c r="C223" s="9"/>
      <c r="D223" s="9">
        <f t="shared" si="3"/>
        <v>41.87</v>
      </c>
      <c r="E223" s="11"/>
      <c r="F223" s="9"/>
    </row>
    <row r="224" s="1" customFormat="1" customHeight="1" spans="1:6">
      <c r="A224" s="9" t="str">
        <f>"10362100812"</f>
        <v>10362100812</v>
      </c>
      <c r="B224" s="10">
        <v>34.06</v>
      </c>
      <c r="C224" s="9"/>
      <c r="D224" s="9">
        <f t="shared" si="3"/>
        <v>34.06</v>
      </c>
      <c r="E224" s="11"/>
      <c r="F224" s="9"/>
    </row>
    <row r="225" s="1" customFormat="1" customHeight="1" spans="1:6">
      <c r="A225" s="9" t="str">
        <f>"10362100813"</f>
        <v>10362100813</v>
      </c>
      <c r="B225" s="10">
        <v>34.54</v>
      </c>
      <c r="C225" s="9"/>
      <c r="D225" s="9">
        <f t="shared" si="3"/>
        <v>34.54</v>
      </c>
      <c r="E225" s="11"/>
      <c r="F225" s="9"/>
    </row>
    <row r="226" s="1" customFormat="1" customHeight="1" spans="1:6">
      <c r="A226" s="9" t="str">
        <f>"10372100814"</f>
        <v>10372100814</v>
      </c>
      <c r="B226" s="10">
        <v>39.12</v>
      </c>
      <c r="C226" s="9"/>
      <c r="D226" s="9">
        <f t="shared" si="3"/>
        <v>39.12</v>
      </c>
      <c r="E226" s="11"/>
      <c r="F226" s="9"/>
    </row>
    <row r="227" s="1" customFormat="1" customHeight="1" spans="1:6">
      <c r="A227" s="9" t="str">
        <f>"10492100815"</f>
        <v>10492100815</v>
      </c>
      <c r="B227" s="10">
        <v>38.46</v>
      </c>
      <c r="C227" s="9"/>
      <c r="D227" s="9">
        <f t="shared" si="3"/>
        <v>38.46</v>
      </c>
      <c r="E227" s="11"/>
      <c r="F227" s="9"/>
    </row>
    <row r="228" s="1" customFormat="1" customHeight="1" spans="1:6">
      <c r="A228" s="9" t="str">
        <f>"10362100816"</f>
        <v>10362100816</v>
      </c>
      <c r="B228" s="10">
        <v>40.28</v>
      </c>
      <c r="C228" s="9"/>
      <c r="D228" s="9">
        <f t="shared" si="3"/>
        <v>40.28</v>
      </c>
      <c r="E228" s="11"/>
      <c r="F228" s="9"/>
    </row>
    <row r="229" s="1" customFormat="1" customHeight="1" spans="1:6">
      <c r="A229" s="9" t="str">
        <f>"10512100817"</f>
        <v>10512100817</v>
      </c>
      <c r="B229" s="10">
        <v>39.58</v>
      </c>
      <c r="C229" s="9"/>
      <c r="D229" s="9">
        <f t="shared" si="3"/>
        <v>39.58</v>
      </c>
      <c r="E229" s="11"/>
      <c r="F229" s="9"/>
    </row>
    <row r="230" s="1" customFormat="1" customHeight="1" spans="1:6">
      <c r="A230" s="9" t="str">
        <f>"10512100818"</f>
        <v>10512100818</v>
      </c>
      <c r="B230" s="10">
        <v>45.1</v>
      </c>
      <c r="C230" s="9"/>
      <c r="D230" s="9">
        <f t="shared" si="3"/>
        <v>45.1</v>
      </c>
      <c r="E230" s="11"/>
      <c r="F230" s="9"/>
    </row>
    <row r="231" s="1" customFormat="1" customHeight="1" spans="1:6">
      <c r="A231" s="9" t="str">
        <f>"10362100819"</f>
        <v>10362100819</v>
      </c>
      <c r="B231" s="10">
        <v>0</v>
      </c>
      <c r="C231" s="9"/>
      <c r="D231" s="9">
        <f t="shared" si="3"/>
        <v>0</v>
      </c>
      <c r="E231" s="11"/>
      <c r="F231" s="9" t="s">
        <v>7</v>
      </c>
    </row>
    <row r="232" s="1" customFormat="1" customHeight="1" spans="1:6">
      <c r="A232" s="9" t="str">
        <f>"10212100820"</f>
        <v>10212100820</v>
      </c>
      <c r="B232" s="10">
        <v>38.76</v>
      </c>
      <c r="C232" s="9"/>
      <c r="D232" s="9">
        <f t="shared" si="3"/>
        <v>38.76</v>
      </c>
      <c r="E232" s="11"/>
      <c r="F232" s="9"/>
    </row>
    <row r="233" s="1" customFormat="1" customHeight="1" spans="1:6">
      <c r="A233" s="9" t="str">
        <f>"10302100821"</f>
        <v>10302100821</v>
      </c>
      <c r="B233" s="10">
        <v>0</v>
      </c>
      <c r="C233" s="9"/>
      <c r="D233" s="9">
        <f t="shared" si="3"/>
        <v>0</v>
      </c>
      <c r="E233" s="11"/>
      <c r="F233" s="9" t="s">
        <v>7</v>
      </c>
    </row>
    <row r="234" s="1" customFormat="1" customHeight="1" spans="1:6">
      <c r="A234" s="9" t="str">
        <f>"10532100822"</f>
        <v>10532100822</v>
      </c>
      <c r="B234" s="10">
        <v>0</v>
      </c>
      <c r="C234" s="9"/>
      <c r="D234" s="9">
        <f t="shared" si="3"/>
        <v>0</v>
      </c>
      <c r="E234" s="11"/>
      <c r="F234" s="9" t="s">
        <v>7</v>
      </c>
    </row>
    <row r="235" s="1" customFormat="1" customHeight="1" spans="1:6">
      <c r="A235" s="9" t="str">
        <f>"10192100823"</f>
        <v>10192100823</v>
      </c>
      <c r="B235" s="10">
        <v>39.4</v>
      </c>
      <c r="C235" s="9"/>
      <c r="D235" s="9">
        <f t="shared" si="3"/>
        <v>39.4</v>
      </c>
      <c r="E235" s="11"/>
      <c r="F235" s="9"/>
    </row>
    <row r="236" s="1" customFormat="1" customHeight="1" spans="1:6">
      <c r="A236" s="9" t="str">
        <f>"10362100824"</f>
        <v>10362100824</v>
      </c>
      <c r="B236" s="10">
        <v>0</v>
      </c>
      <c r="C236" s="9"/>
      <c r="D236" s="9">
        <f t="shared" si="3"/>
        <v>0</v>
      </c>
      <c r="E236" s="11"/>
      <c r="F236" s="9" t="s">
        <v>7</v>
      </c>
    </row>
    <row r="237" s="1" customFormat="1" customHeight="1" spans="1:6">
      <c r="A237" s="9" t="str">
        <f>"10232100825"</f>
        <v>10232100825</v>
      </c>
      <c r="B237" s="10">
        <v>52.43</v>
      </c>
      <c r="C237" s="9"/>
      <c r="D237" s="9">
        <f t="shared" si="3"/>
        <v>52.43</v>
      </c>
      <c r="E237" s="11"/>
      <c r="F237" s="9"/>
    </row>
    <row r="238" s="1" customFormat="1" customHeight="1" spans="1:6">
      <c r="A238" s="9" t="str">
        <f>"10132100826"</f>
        <v>10132100826</v>
      </c>
      <c r="B238" s="10">
        <v>0</v>
      </c>
      <c r="C238" s="9"/>
      <c r="D238" s="9">
        <f t="shared" si="3"/>
        <v>0</v>
      </c>
      <c r="E238" s="11"/>
      <c r="F238" s="9" t="s">
        <v>7</v>
      </c>
    </row>
    <row r="239" s="1" customFormat="1" customHeight="1" spans="1:6">
      <c r="A239" s="9" t="str">
        <f>"10532100827"</f>
        <v>10532100827</v>
      </c>
      <c r="B239" s="10">
        <v>38.81</v>
      </c>
      <c r="C239" s="9"/>
      <c r="D239" s="9">
        <f t="shared" si="3"/>
        <v>38.81</v>
      </c>
      <c r="E239" s="11"/>
      <c r="F239" s="9"/>
    </row>
    <row r="240" s="1" customFormat="1" customHeight="1" spans="1:6">
      <c r="A240" s="9" t="str">
        <f>"10152100828"</f>
        <v>10152100828</v>
      </c>
      <c r="B240" s="10">
        <v>42.31</v>
      </c>
      <c r="C240" s="9"/>
      <c r="D240" s="9">
        <f t="shared" si="3"/>
        <v>42.31</v>
      </c>
      <c r="E240" s="11"/>
      <c r="F240" s="9"/>
    </row>
    <row r="241" s="1" customFormat="1" customHeight="1" spans="1:6">
      <c r="A241" s="9" t="str">
        <f>"10362100829"</f>
        <v>10362100829</v>
      </c>
      <c r="B241" s="10">
        <v>0</v>
      </c>
      <c r="C241" s="9"/>
      <c r="D241" s="9">
        <f t="shared" si="3"/>
        <v>0</v>
      </c>
      <c r="E241" s="11"/>
      <c r="F241" s="9" t="s">
        <v>7</v>
      </c>
    </row>
    <row r="242" s="1" customFormat="1" customHeight="1" spans="1:6">
      <c r="A242" s="9" t="str">
        <f>"10112100830"</f>
        <v>10112100830</v>
      </c>
      <c r="B242" s="10">
        <v>0</v>
      </c>
      <c r="C242" s="9"/>
      <c r="D242" s="9">
        <f t="shared" si="3"/>
        <v>0</v>
      </c>
      <c r="E242" s="11"/>
      <c r="F242" s="9" t="s">
        <v>7</v>
      </c>
    </row>
    <row r="243" s="1" customFormat="1" customHeight="1" spans="1:6">
      <c r="A243" s="9" t="str">
        <f>"10452100901"</f>
        <v>10452100901</v>
      </c>
      <c r="B243" s="10">
        <v>49.59</v>
      </c>
      <c r="C243" s="9"/>
      <c r="D243" s="9">
        <f t="shared" si="3"/>
        <v>49.59</v>
      </c>
      <c r="E243" s="11"/>
      <c r="F243" s="9"/>
    </row>
    <row r="244" s="1" customFormat="1" customHeight="1" spans="1:6">
      <c r="A244" s="9" t="str">
        <f>"10102100902"</f>
        <v>10102100902</v>
      </c>
      <c r="B244" s="10">
        <v>0</v>
      </c>
      <c r="C244" s="9"/>
      <c r="D244" s="9">
        <f t="shared" si="3"/>
        <v>0</v>
      </c>
      <c r="E244" s="11"/>
      <c r="F244" s="9" t="s">
        <v>7</v>
      </c>
    </row>
    <row r="245" s="1" customFormat="1" customHeight="1" spans="1:6">
      <c r="A245" s="9" t="str">
        <f>"10372100903"</f>
        <v>10372100903</v>
      </c>
      <c r="B245" s="10">
        <v>39.98</v>
      </c>
      <c r="C245" s="9"/>
      <c r="D245" s="9">
        <f t="shared" si="3"/>
        <v>39.98</v>
      </c>
      <c r="E245" s="11"/>
      <c r="F245" s="9"/>
    </row>
    <row r="246" s="1" customFormat="1" customHeight="1" spans="1:6">
      <c r="A246" s="9" t="str">
        <f>"10332100904"</f>
        <v>10332100904</v>
      </c>
      <c r="B246" s="10">
        <v>35.8</v>
      </c>
      <c r="C246" s="9"/>
      <c r="D246" s="9">
        <f t="shared" si="3"/>
        <v>35.8</v>
      </c>
      <c r="E246" s="11"/>
      <c r="F246" s="9"/>
    </row>
    <row r="247" s="1" customFormat="1" customHeight="1" spans="1:6">
      <c r="A247" s="9" t="str">
        <f>"10512100905"</f>
        <v>10512100905</v>
      </c>
      <c r="B247" s="10">
        <v>39.02</v>
      </c>
      <c r="C247" s="9"/>
      <c r="D247" s="9">
        <f t="shared" si="3"/>
        <v>39.02</v>
      </c>
      <c r="E247" s="11"/>
      <c r="F247" s="9"/>
    </row>
    <row r="248" s="1" customFormat="1" customHeight="1" spans="1:6">
      <c r="A248" s="9" t="str">
        <f>"10352100906"</f>
        <v>10352100906</v>
      </c>
      <c r="B248" s="10">
        <v>35.07</v>
      </c>
      <c r="C248" s="9"/>
      <c r="D248" s="9">
        <f t="shared" si="3"/>
        <v>35.07</v>
      </c>
      <c r="E248" s="11"/>
      <c r="F248" s="9"/>
    </row>
    <row r="249" s="1" customFormat="1" customHeight="1" spans="1:6">
      <c r="A249" s="9" t="str">
        <f>"10132100907"</f>
        <v>10132100907</v>
      </c>
      <c r="B249" s="10">
        <v>43.84</v>
      </c>
      <c r="C249" s="9"/>
      <c r="D249" s="9">
        <f t="shared" si="3"/>
        <v>43.84</v>
      </c>
      <c r="E249" s="11"/>
      <c r="F249" s="9"/>
    </row>
    <row r="250" s="1" customFormat="1" customHeight="1" spans="1:6">
      <c r="A250" s="9" t="str">
        <f>"10022100908"</f>
        <v>10022100908</v>
      </c>
      <c r="B250" s="10">
        <v>43.13</v>
      </c>
      <c r="C250" s="9">
        <v>10</v>
      </c>
      <c r="D250" s="9">
        <f t="shared" si="3"/>
        <v>53.13</v>
      </c>
      <c r="E250" s="12" t="s">
        <v>8</v>
      </c>
      <c r="F250" s="9"/>
    </row>
    <row r="251" s="1" customFormat="1" customHeight="1" spans="1:6">
      <c r="A251" s="9" t="str">
        <f>"10292100909"</f>
        <v>10292100909</v>
      </c>
      <c r="B251" s="10">
        <v>33.6</v>
      </c>
      <c r="C251" s="9"/>
      <c r="D251" s="9">
        <f t="shared" si="3"/>
        <v>33.6</v>
      </c>
      <c r="E251" s="11"/>
      <c r="F251" s="9"/>
    </row>
    <row r="252" s="1" customFormat="1" customHeight="1" spans="1:6">
      <c r="A252" s="9" t="str">
        <f>"10242100910"</f>
        <v>10242100910</v>
      </c>
      <c r="B252" s="10">
        <v>34.01</v>
      </c>
      <c r="C252" s="9"/>
      <c r="D252" s="9">
        <f t="shared" si="3"/>
        <v>34.01</v>
      </c>
      <c r="E252" s="11"/>
      <c r="F252" s="9"/>
    </row>
    <row r="253" s="1" customFormat="1" customHeight="1" spans="1:6">
      <c r="A253" s="9" t="str">
        <f>"10192100911"</f>
        <v>10192100911</v>
      </c>
      <c r="B253" s="10">
        <v>34.03</v>
      </c>
      <c r="C253" s="9"/>
      <c r="D253" s="9">
        <f t="shared" si="3"/>
        <v>34.03</v>
      </c>
      <c r="E253" s="11"/>
      <c r="F253" s="9"/>
    </row>
    <row r="254" s="1" customFormat="1" customHeight="1" spans="1:6">
      <c r="A254" s="9" t="str">
        <f>"10532100912"</f>
        <v>10532100912</v>
      </c>
      <c r="B254" s="10">
        <v>34.56</v>
      </c>
      <c r="C254" s="9"/>
      <c r="D254" s="9">
        <f t="shared" si="3"/>
        <v>34.56</v>
      </c>
      <c r="E254" s="11"/>
      <c r="F254" s="9"/>
    </row>
    <row r="255" s="1" customFormat="1" customHeight="1" spans="1:6">
      <c r="A255" s="9" t="str">
        <f>"10362100913"</f>
        <v>10362100913</v>
      </c>
      <c r="B255" s="10">
        <v>36.41</v>
      </c>
      <c r="C255" s="9"/>
      <c r="D255" s="9">
        <f t="shared" si="3"/>
        <v>36.41</v>
      </c>
      <c r="E255" s="11"/>
      <c r="F255" s="9"/>
    </row>
    <row r="256" s="1" customFormat="1" customHeight="1" spans="1:6">
      <c r="A256" s="9" t="str">
        <f>"10212100914"</f>
        <v>10212100914</v>
      </c>
      <c r="B256" s="10">
        <v>42.9</v>
      </c>
      <c r="C256" s="9"/>
      <c r="D256" s="9">
        <f t="shared" si="3"/>
        <v>42.9</v>
      </c>
      <c r="E256" s="11"/>
      <c r="F256" s="9"/>
    </row>
    <row r="257" s="1" customFormat="1" customHeight="1" spans="1:6">
      <c r="A257" s="9" t="str">
        <f>"10182100915"</f>
        <v>10182100915</v>
      </c>
      <c r="B257" s="10">
        <v>34.26</v>
      </c>
      <c r="C257" s="9"/>
      <c r="D257" s="9">
        <f t="shared" si="3"/>
        <v>34.26</v>
      </c>
      <c r="E257" s="11"/>
      <c r="F257" s="9"/>
    </row>
    <row r="258" s="1" customFormat="1" customHeight="1" spans="1:6">
      <c r="A258" s="9" t="str">
        <f>"10092100916"</f>
        <v>10092100916</v>
      </c>
      <c r="B258" s="10">
        <v>0</v>
      </c>
      <c r="C258" s="9"/>
      <c r="D258" s="9">
        <f t="shared" si="3"/>
        <v>0</v>
      </c>
      <c r="E258" s="11"/>
      <c r="F258" s="9" t="s">
        <v>7</v>
      </c>
    </row>
    <row r="259" s="1" customFormat="1" customHeight="1" spans="1:6">
      <c r="A259" s="9" t="str">
        <f>"10112100917"</f>
        <v>10112100917</v>
      </c>
      <c r="B259" s="10">
        <v>52.21</v>
      </c>
      <c r="C259" s="9"/>
      <c r="D259" s="9">
        <f t="shared" ref="D259:D322" si="4">SUM(B259:C259)</f>
        <v>52.21</v>
      </c>
      <c r="E259" s="11"/>
      <c r="F259" s="9"/>
    </row>
    <row r="260" s="1" customFormat="1" customHeight="1" spans="1:6">
      <c r="A260" s="9" t="str">
        <f>"10522100918"</f>
        <v>10522100918</v>
      </c>
      <c r="B260" s="10">
        <v>42.37</v>
      </c>
      <c r="C260" s="9"/>
      <c r="D260" s="9">
        <f t="shared" si="4"/>
        <v>42.37</v>
      </c>
      <c r="E260" s="11"/>
      <c r="F260" s="9"/>
    </row>
    <row r="261" s="1" customFormat="1" customHeight="1" spans="1:6">
      <c r="A261" s="9" t="str">
        <f>"10212100919"</f>
        <v>10212100919</v>
      </c>
      <c r="B261" s="10">
        <v>46.86</v>
      </c>
      <c r="C261" s="9"/>
      <c r="D261" s="9">
        <f t="shared" si="4"/>
        <v>46.86</v>
      </c>
      <c r="E261" s="11"/>
      <c r="F261" s="9"/>
    </row>
    <row r="262" s="1" customFormat="1" customHeight="1" spans="1:6">
      <c r="A262" s="9" t="str">
        <f>"10362100920"</f>
        <v>10362100920</v>
      </c>
      <c r="B262" s="10">
        <v>39.61</v>
      </c>
      <c r="C262" s="9"/>
      <c r="D262" s="9">
        <f t="shared" si="4"/>
        <v>39.61</v>
      </c>
      <c r="E262" s="11"/>
      <c r="F262" s="9"/>
    </row>
    <row r="263" s="1" customFormat="1" customHeight="1" spans="1:6">
      <c r="A263" s="9" t="str">
        <f>"10532100921"</f>
        <v>10532100921</v>
      </c>
      <c r="B263" s="10">
        <v>0</v>
      </c>
      <c r="C263" s="9"/>
      <c r="D263" s="9">
        <f t="shared" si="4"/>
        <v>0</v>
      </c>
      <c r="E263" s="11"/>
      <c r="F263" s="9" t="s">
        <v>7</v>
      </c>
    </row>
    <row r="264" s="1" customFormat="1" customHeight="1" spans="1:6">
      <c r="A264" s="9" t="str">
        <f>"20182100922"</f>
        <v>20182100922</v>
      </c>
      <c r="B264" s="10">
        <v>0</v>
      </c>
      <c r="C264" s="9"/>
      <c r="D264" s="9">
        <f t="shared" si="4"/>
        <v>0</v>
      </c>
      <c r="E264" s="11"/>
      <c r="F264" s="9" t="s">
        <v>7</v>
      </c>
    </row>
    <row r="265" s="1" customFormat="1" customHeight="1" spans="1:6">
      <c r="A265" s="9" t="str">
        <f>"10432100923"</f>
        <v>10432100923</v>
      </c>
      <c r="B265" s="10">
        <v>48.86</v>
      </c>
      <c r="C265" s="9"/>
      <c r="D265" s="9">
        <f t="shared" si="4"/>
        <v>48.86</v>
      </c>
      <c r="E265" s="11"/>
      <c r="F265" s="9"/>
    </row>
    <row r="266" s="1" customFormat="1" customHeight="1" spans="1:6">
      <c r="A266" s="9" t="str">
        <f>"10082100924"</f>
        <v>10082100924</v>
      </c>
      <c r="B266" s="10">
        <v>41.4</v>
      </c>
      <c r="C266" s="9"/>
      <c r="D266" s="9">
        <f t="shared" si="4"/>
        <v>41.4</v>
      </c>
      <c r="E266" s="11"/>
      <c r="F266" s="9"/>
    </row>
    <row r="267" s="1" customFormat="1" customHeight="1" spans="1:6">
      <c r="A267" s="9" t="str">
        <f>"10072100925"</f>
        <v>10072100925</v>
      </c>
      <c r="B267" s="10">
        <v>40.06</v>
      </c>
      <c r="C267" s="9"/>
      <c r="D267" s="9">
        <f t="shared" si="4"/>
        <v>40.06</v>
      </c>
      <c r="E267" s="11"/>
      <c r="F267" s="9"/>
    </row>
    <row r="268" s="1" customFormat="1" customHeight="1" spans="1:6">
      <c r="A268" s="9" t="str">
        <f>"10012100926"</f>
        <v>10012100926</v>
      </c>
      <c r="B268" s="10">
        <v>0</v>
      </c>
      <c r="C268" s="9"/>
      <c r="D268" s="9">
        <f t="shared" si="4"/>
        <v>0</v>
      </c>
      <c r="E268" s="11"/>
      <c r="F268" s="9" t="s">
        <v>7</v>
      </c>
    </row>
    <row r="269" s="1" customFormat="1" customHeight="1" spans="1:6">
      <c r="A269" s="9" t="str">
        <f>"10272100927"</f>
        <v>10272100927</v>
      </c>
      <c r="B269" s="10">
        <v>37.42</v>
      </c>
      <c r="C269" s="9"/>
      <c r="D269" s="9">
        <f t="shared" si="4"/>
        <v>37.42</v>
      </c>
      <c r="E269" s="11"/>
      <c r="F269" s="9"/>
    </row>
    <row r="270" s="1" customFormat="1" customHeight="1" spans="1:6">
      <c r="A270" s="9" t="str">
        <f>"10212100928"</f>
        <v>10212100928</v>
      </c>
      <c r="B270" s="10">
        <v>42.17</v>
      </c>
      <c r="C270" s="9"/>
      <c r="D270" s="9">
        <f t="shared" si="4"/>
        <v>42.17</v>
      </c>
      <c r="E270" s="11"/>
      <c r="F270" s="9"/>
    </row>
    <row r="271" s="1" customFormat="1" customHeight="1" spans="1:6">
      <c r="A271" s="9" t="str">
        <f>"10362100929"</f>
        <v>10362100929</v>
      </c>
      <c r="B271" s="10">
        <v>33.99</v>
      </c>
      <c r="C271" s="9"/>
      <c r="D271" s="9">
        <f t="shared" si="4"/>
        <v>33.99</v>
      </c>
      <c r="E271" s="11"/>
      <c r="F271" s="9"/>
    </row>
    <row r="272" s="1" customFormat="1" customHeight="1" spans="1:6">
      <c r="A272" s="9" t="str">
        <f>"10382100930"</f>
        <v>10382100930</v>
      </c>
      <c r="B272" s="10">
        <v>31.36</v>
      </c>
      <c r="C272" s="9"/>
      <c r="D272" s="9">
        <f t="shared" si="4"/>
        <v>31.36</v>
      </c>
      <c r="E272" s="11"/>
      <c r="F272" s="9"/>
    </row>
    <row r="273" s="1" customFormat="1" customHeight="1" spans="1:6">
      <c r="A273" s="9" t="str">
        <f>"10362101001"</f>
        <v>10362101001</v>
      </c>
      <c r="B273" s="10">
        <v>0</v>
      </c>
      <c r="C273" s="9"/>
      <c r="D273" s="9">
        <f t="shared" si="4"/>
        <v>0</v>
      </c>
      <c r="E273" s="11"/>
      <c r="F273" s="9" t="s">
        <v>7</v>
      </c>
    </row>
    <row r="274" s="1" customFormat="1" customHeight="1" spans="1:6">
      <c r="A274" s="9" t="str">
        <f>"10362101002"</f>
        <v>10362101002</v>
      </c>
      <c r="B274" s="10">
        <v>43.61</v>
      </c>
      <c r="C274" s="9"/>
      <c r="D274" s="9">
        <f t="shared" si="4"/>
        <v>43.61</v>
      </c>
      <c r="E274" s="11"/>
      <c r="F274" s="9"/>
    </row>
    <row r="275" s="1" customFormat="1" customHeight="1" spans="1:6">
      <c r="A275" s="9" t="str">
        <f>"10092101003"</f>
        <v>10092101003</v>
      </c>
      <c r="B275" s="10">
        <v>0</v>
      </c>
      <c r="C275" s="9"/>
      <c r="D275" s="9">
        <f t="shared" si="4"/>
        <v>0</v>
      </c>
      <c r="E275" s="11"/>
      <c r="F275" s="9" t="s">
        <v>7</v>
      </c>
    </row>
    <row r="276" s="1" customFormat="1" customHeight="1" spans="1:6">
      <c r="A276" s="9" t="str">
        <f>"10172101004"</f>
        <v>10172101004</v>
      </c>
      <c r="B276" s="10">
        <v>78.55</v>
      </c>
      <c r="C276" s="9"/>
      <c r="D276" s="9">
        <f t="shared" si="4"/>
        <v>78.55</v>
      </c>
      <c r="E276" s="11"/>
      <c r="F276" s="9"/>
    </row>
    <row r="277" s="1" customFormat="1" customHeight="1" spans="1:6">
      <c r="A277" s="9" t="str">
        <f>"10062101005"</f>
        <v>10062101005</v>
      </c>
      <c r="B277" s="10">
        <v>45.13</v>
      </c>
      <c r="C277" s="9"/>
      <c r="D277" s="9">
        <f t="shared" si="4"/>
        <v>45.13</v>
      </c>
      <c r="E277" s="11"/>
      <c r="F277" s="9"/>
    </row>
    <row r="278" s="1" customFormat="1" customHeight="1" spans="1:6">
      <c r="A278" s="9" t="str">
        <f>"10142101006"</f>
        <v>10142101006</v>
      </c>
      <c r="B278" s="10">
        <v>0</v>
      </c>
      <c r="C278" s="9"/>
      <c r="D278" s="9">
        <f t="shared" si="4"/>
        <v>0</v>
      </c>
      <c r="E278" s="11"/>
      <c r="F278" s="9" t="s">
        <v>7</v>
      </c>
    </row>
    <row r="279" s="1" customFormat="1" customHeight="1" spans="1:6">
      <c r="A279" s="9" t="str">
        <f>"10352101007"</f>
        <v>10352101007</v>
      </c>
      <c r="B279" s="10">
        <v>0</v>
      </c>
      <c r="C279" s="9"/>
      <c r="D279" s="9">
        <f t="shared" si="4"/>
        <v>0</v>
      </c>
      <c r="E279" s="11"/>
      <c r="F279" s="9" t="s">
        <v>7</v>
      </c>
    </row>
    <row r="280" s="1" customFormat="1" customHeight="1" spans="1:6">
      <c r="A280" s="9" t="str">
        <f>"10442101008"</f>
        <v>10442101008</v>
      </c>
      <c r="B280" s="10">
        <v>41.4</v>
      </c>
      <c r="C280" s="9"/>
      <c r="D280" s="9">
        <f t="shared" si="4"/>
        <v>41.4</v>
      </c>
      <c r="E280" s="11"/>
      <c r="F280" s="9"/>
    </row>
    <row r="281" s="1" customFormat="1" customHeight="1" spans="1:6">
      <c r="A281" s="9" t="str">
        <f>"10512101009"</f>
        <v>10512101009</v>
      </c>
      <c r="B281" s="10">
        <v>35.22</v>
      </c>
      <c r="C281" s="9"/>
      <c r="D281" s="9">
        <f t="shared" si="4"/>
        <v>35.22</v>
      </c>
      <c r="E281" s="11"/>
      <c r="F281" s="9"/>
    </row>
    <row r="282" s="1" customFormat="1" customHeight="1" spans="1:6">
      <c r="A282" s="9" t="str">
        <f>"10362101010"</f>
        <v>10362101010</v>
      </c>
      <c r="B282" s="10">
        <v>36.57</v>
      </c>
      <c r="C282" s="9"/>
      <c r="D282" s="9">
        <f t="shared" si="4"/>
        <v>36.57</v>
      </c>
      <c r="E282" s="11"/>
      <c r="F282" s="9"/>
    </row>
    <row r="283" s="1" customFormat="1" customHeight="1" spans="1:6">
      <c r="A283" s="9" t="str">
        <f>"10062101011"</f>
        <v>10062101011</v>
      </c>
      <c r="B283" s="10">
        <v>0</v>
      </c>
      <c r="C283" s="9"/>
      <c r="D283" s="9">
        <f t="shared" si="4"/>
        <v>0</v>
      </c>
      <c r="E283" s="11"/>
      <c r="F283" s="9" t="s">
        <v>7</v>
      </c>
    </row>
    <row r="284" s="1" customFormat="1" customHeight="1" spans="1:6">
      <c r="A284" s="9" t="str">
        <f>"10362101012"</f>
        <v>10362101012</v>
      </c>
      <c r="B284" s="10">
        <v>0</v>
      </c>
      <c r="C284" s="9"/>
      <c r="D284" s="9">
        <f t="shared" si="4"/>
        <v>0</v>
      </c>
      <c r="E284" s="11"/>
      <c r="F284" s="9" t="s">
        <v>7</v>
      </c>
    </row>
    <row r="285" s="1" customFormat="1" customHeight="1" spans="1:6">
      <c r="A285" s="9" t="str">
        <f>"10102101013"</f>
        <v>10102101013</v>
      </c>
      <c r="B285" s="10">
        <v>0</v>
      </c>
      <c r="C285" s="9"/>
      <c r="D285" s="9">
        <f t="shared" si="4"/>
        <v>0</v>
      </c>
      <c r="E285" s="11"/>
      <c r="F285" s="9" t="s">
        <v>7</v>
      </c>
    </row>
    <row r="286" s="1" customFormat="1" customHeight="1" spans="1:6">
      <c r="A286" s="9" t="str">
        <f>"10512101014"</f>
        <v>10512101014</v>
      </c>
      <c r="B286" s="10">
        <v>41.91</v>
      </c>
      <c r="C286" s="9"/>
      <c r="D286" s="9">
        <f t="shared" si="4"/>
        <v>41.91</v>
      </c>
      <c r="E286" s="11"/>
      <c r="F286" s="9"/>
    </row>
    <row r="287" s="1" customFormat="1" customHeight="1" spans="1:6">
      <c r="A287" s="9" t="str">
        <f>"10362101015"</f>
        <v>10362101015</v>
      </c>
      <c r="B287" s="10">
        <v>43.59</v>
      </c>
      <c r="C287" s="9"/>
      <c r="D287" s="9">
        <f t="shared" si="4"/>
        <v>43.59</v>
      </c>
      <c r="E287" s="11"/>
      <c r="F287" s="9"/>
    </row>
    <row r="288" s="1" customFormat="1" customHeight="1" spans="1:6">
      <c r="A288" s="9" t="str">
        <f>"10112101016"</f>
        <v>10112101016</v>
      </c>
      <c r="B288" s="10">
        <v>44.28</v>
      </c>
      <c r="C288" s="9"/>
      <c r="D288" s="9">
        <f t="shared" si="4"/>
        <v>44.28</v>
      </c>
      <c r="E288" s="11"/>
      <c r="F288" s="9"/>
    </row>
    <row r="289" s="1" customFormat="1" customHeight="1" spans="1:6">
      <c r="A289" s="9" t="str">
        <f>"10412101017"</f>
        <v>10412101017</v>
      </c>
      <c r="B289" s="10">
        <v>38.22</v>
      </c>
      <c r="C289" s="9"/>
      <c r="D289" s="9">
        <f t="shared" si="4"/>
        <v>38.22</v>
      </c>
      <c r="E289" s="11"/>
      <c r="F289" s="9"/>
    </row>
    <row r="290" s="1" customFormat="1" customHeight="1" spans="1:6">
      <c r="A290" s="9" t="str">
        <f>"10462101018"</f>
        <v>10462101018</v>
      </c>
      <c r="B290" s="10">
        <v>0</v>
      </c>
      <c r="C290" s="9"/>
      <c r="D290" s="9">
        <f t="shared" si="4"/>
        <v>0</v>
      </c>
      <c r="E290" s="11"/>
      <c r="F290" s="9" t="s">
        <v>7</v>
      </c>
    </row>
    <row r="291" s="1" customFormat="1" customHeight="1" spans="1:6">
      <c r="A291" s="9" t="str">
        <f>"10242101019"</f>
        <v>10242101019</v>
      </c>
      <c r="B291" s="10">
        <v>38.28</v>
      </c>
      <c r="C291" s="9"/>
      <c r="D291" s="9">
        <f t="shared" si="4"/>
        <v>38.28</v>
      </c>
      <c r="E291" s="11"/>
      <c r="F291" s="9"/>
    </row>
    <row r="292" s="1" customFormat="1" customHeight="1" spans="1:6">
      <c r="A292" s="9" t="str">
        <f>"10112101020"</f>
        <v>10112101020</v>
      </c>
      <c r="B292" s="10">
        <v>39.74</v>
      </c>
      <c r="C292" s="9"/>
      <c r="D292" s="9">
        <f t="shared" si="4"/>
        <v>39.74</v>
      </c>
      <c r="E292" s="11"/>
      <c r="F292" s="9"/>
    </row>
    <row r="293" s="1" customFormat="1" customHeight="1" spans="1:6">
      <c r="A293" s="9" t="str">
        <f>"10352101021"</f>
        <v>10352101021</v>
      </c>
      <c r="B293" s="10">
        <v>49.23</v>
      </c>
      <c r="C293" s="9"/>
      <c r="D293" s="9">
        <f t="shared" si="4"/>
        <v>49.23</v>
      </c>
      <c r="E293" s="11"/>
      <c r="F293" s="9"/>
    </row>
    <row r="294" s="1" customFormat="1" customHeight="1" spans="1:6">
      <c r="A294" s="9" t="str">
        <f>"10282101022"</f>
        <v>10282101022</v>
      </c>
      <c r="B294" s="10">
        <v>0</v>
      </c>
      <c r="C294" s="9"/>
      <c r="D294" s="9">
        <f t="shared" si="4"/>
        <v>0</v>
      </c>
      <c r="E294" s="11"/>
      <c r="F294" s="9" t="s">
        <v>7</v>
      </c>
    </row>
    <row r="295" s="1" customFormat="1" customHeight="1" spans="1:6">
      <c r="A295" s="9" t="str">
        <f>"10532101023"</f>
        <v>10532101023</v>
      </c>
      <c r="B295" s="10">
        <v>34.04</v>
      </c>
      <c r="C295" s="9"/>
      <c r="D295" s="9">
        <f t="shared" si="4"/>
        <v>34.04</v>
      </c>
      <c r="E295" s="11"/>
      <c r="F295" s="9"/>
    </row>
    <row r="296" s="1" customFormat="1" customHeight="1" spans="1:6">
      <c r="A296" s="9" t="str">
        <f>"10362101024"</f>
        <v>10362101024</v>
      </c>
      <c r="B296" s="10">
        <v>34.35</v>
      </c>
      <c r="C296" s="9"/>
      <c r="D296" s="9">
        <f t="shared" si="4"/>
        <v>34.35</v>
      </c>
      <c r="E296" s="11"/>
      <c r="F296" s="9"/>
    </row>
    <row r="297" s="1" customFormat="1" customHeight="1" spans="1:6">
      <c r="A297" s="9" t="str">
        <f>"10122101025"</f>
        <v>10122101025</v>
      </c>
      <c r="B297" s="10">
        <v>34.78</v>
      </c>
      <c r="C297" s="9"/>
      <c r="D297" s="9">
        <f t="shared" si="4"/>
        <v>34.78</v>
      </c>
      <c r="E297" s="11"/>
      <c r="F297" s="9"/>
    </row>
    <row r="298" s="1" customFormat="1" customHeight="1" spans="1:6">
      <c r="A298" s="9" t="str">
        <f>"10512101026"</f>
        <v>10512101026</v>
      </c>
      <c r="B298" s="10">
        <v>48.51</v>
      </c>
      <c r="C298" s="9">
        <v>10</v>
      </c>
      <c r="D298" s="9">
        <f t="shared" si="4"/>
        <v>58.51</v>
      </c>
      <c r="E298" s="12" t="s">
        <v>8</v>
      </c>
      <c r="F298" s="9"/>
    </row>
    <row r="299" s="1" customFormat="1" customHeight="1" spans="1:6">
      <c r="A299" s="9" t="str">
        <f>"10522101027"</f>
        <v>10522101027</v>
      </c>
      <c r="B299" s="10">
        <v>47.43</v>
      </c>
      <c r="C299" s="9"/>
      <c r="D299" s="9">
        <f t="shared" si="4"/>
        <v>47.43</v>
      </c>
      <c r="E299" s="11"/>
      <c r="F299" s="9"/>
    </row>
    <row r="300" s="1" customFormat="1" customHeight="1" spans="1:6">
      <c r="A300" s="9" t="str">
        <f>"10232101028"</f>
        <v>10232101028</v>
      </c>
      <c r="B300" s="10">
        <v>0</v>
      </c>
      <c r="C300" s="9"/>
      <c r="D300" s="9">
        <f t="shared" si="4"/>
        <v>0</v>
      </c>
      <c r="E300" s="11"/>
      <c r="F300" s="9" t="s">
        <v>7</v>
      </c>
    </row>
    <row r="301" s="1" customFormat="1" customHeight="1" spans="1:6">
      <c r="A301" s="9" t="str">
        <f>"10412101029"</f>
        <v>10412101029</v>
      </c>
      <c r="B301" s="10">
        <v>44.27</v>
      </c>
      <c r="C301" s="9"/>
      <c r="D301" s="9">
        <f t="shared" si="4"/>
        <v>44.27</v>
      </c>
      <c r="E301" s="11"/>
      <c r="F301" s="9"/>
    </row>
    <row r="302" s="1" customFormat="1" customHeight="1" spans="1:6">
      <c r="A302" s="9" t="str">
        <f>"10532101030"</f>
        <v>10532101030</v>
      </c>
      <c r="B302" s="10">
        <v>45.5</v>
      </c>
      <c r="C302" s="9"/>
      <c r="D302" s="9">
        <f t="shared" si="4"/>
        <v>45.5</v>
      </c>
      <c r="E302" s="11"/>
      <c r="F302" s="9"/>
    </row>
    <row r="303" s="1" customFormat="1" customHeight="1" spans="1:6">
      <c r="A303" s="9" t="str">
        <f>"10362101101"</f>
        <v>10362101101</v>
      </c>
      <c r="B303" s="10">
        <v>0</v>
      </c>
      <c r="C303" s="9"/>
      <c r="D303" s="9">
        <f t="shared" si="4"/>
        <v>0</v>
      </c>
      <c r="E303" s="11"/>
      <c r="F303" s="9" t="s">
        <v>7</v>
      </c>
    </row>
    <row r="304" s="1" customFormat="1" customHeight="1" spans="1:6">
      <c r="A304" s="9" t="str">
        <f>"10332101102"</f>
        <v>10332101102</v>
      </c>
      <c r="B304" s="10">
        <v>0</v>
      </c>
      <c r="C304" s="9"/>
      <c r="D304" s="9">
        <f t="shared" si="4"/>
        <v>0</v>
      </c>
      <c r="E304" s="11"/>
      <c r="F304" s="9" t="s">
        <v>7</v>
      </c>
    </row>
    <row r="305" s="1" customFormat="1" customHeight="1" spans="1:6">
      <c r="A305" s="9" t="str">
        <f>"10442101103"</f>
        <v>10442101103</v>
      </c>
      <c r="B305" s="10">
        <v>42.99</v>
      </c>
      <c r="C305" s="9"/>
      <c r="D305" s="9">
        <f t="shared" si="4"/>
        <v>42.99</v>
      </c>
      <c r="E305" s="11"/>
      <c r="F305" s="9"/>
    </row>
    <row r="306" s="1" customFormat="1" customHeight="1" spans="1:6">
      <c r="A306" s="9" t="str">
        <f>"10382101104"</f>
        <v>10382101104</v>
      </c>
      <c r="B306" s="10">
        <v>0</v>
      </c>
      <c r="C306" s="9"/>
      <c r="D306" s="9">
        <f t="shared" si="4"/>
        <v>0</v>
      </c>
      <c r="E306" s="11"/>
      <c r="F306" s="9" t="s">
        <v>7</v>
      </c>
    </row>
    <row r="307" s="1" customFormat="1" customHeight="1" spans="1:6">
      <c r="A307" s="9" t="str">
        <f>"10362101105"</f>
        <v>10362101105</v>
      </c>
      <c r="B307" s="10">
        <v>31.5</v>
      </c>
      <c r="C307" s="9"/>
      <c r="D307" s="9">
        <f t="shared" si="4"/>
        <v>31.5</v>
      </c>
      <c r="E307" s="11"/>
      <c r="F307" s="9"/>
    </row>
    <row r="308" s="1" customFormat="1" customHeight="1" spans="1:6">
      <c r="A308" s="9" t="str">
        <f>"10362101106"</f>
        <v>10362101106</v>
      </c>
      <c r="B308" s="10">
        <v>37.87</v>
      </c>
      <c r="C308" s="9"/>
      <c r="D308" s="9">
        <f t="shared" si="4"/>
        <v>37.87</v>
      </c>
      <c r="E308" s="11"/>
      <c r="F308" s="9"/>
    </row>
    <row r="309" s="1" customFormat="1" customHeight="1" spans="1:6">
      <c r="A309" s="9" t="str">
        <f>"10362101107"</f>
        <v>10362101107</v>
      </c>
      <c r="B309" s="10">
        <v>0</v>
      </c>
      <c r="C309" s="9"/>
      <c r="D309" s="9">
        <f t="shared" si="4"/>
        <v>0</v>
      </c>
      <c r="E309" s="11"/>
      <c r="F309" s="9" t="s">
        <v>7</v>
      </c>
    </row>
    <row r="310" s="1" customFormat="1" customHeight="1" spans="1:6">
      <c r="A310" s="9" t="str">
        <f>"10532101108"</f>
        <v>10532101108</v>
      </c>
      <c r="B310" s="10">
        <v>0</v>
      </c>
      <c r="C310" s="9"/>
      <c r="D310" s="9">
        <f t="shared" si="4"/>
        <v>0</v>
      </c>
      <c r="E310" s="11"/>
      <c r="F310" s="9" t="s">
        <v>7</v>
      </c>
    </row>
    <row r="311" s="1" customFormat="1" customHeight="1" spans="1:6">
      <c r="A311" s="9" t="str">
        <f>"10292101109"</f>
        <v>10292101109</v>
      </c>
      <c r="B311" s="10">
        <v>40.5</v>
      </c>
      <c r="C311" s="9"/>
      <c r="D311" s="9">
        <f t="shared" si="4"/>
        <v>40.5</v>
      </c>
      <c r="E311" s="11"/>
      <c r="F311" s="9"/>
    </row>
    <row r="312" s="1" customFormat="1" customHeight="1" spans="1:6">
      <c r="A312" s="9" t="str">
        <f>"10362101110"</f>
        <v>10362101110</v>
      </c>
      <c r="B312" s="10">
        <v>42.06</v>
      </c>
      <c r="C312" s="9"/>
      <c r="D312" s="9">
        <f t="shared" si="4"/>
        <v>42.06</v>
      </c>
      <c r="E312" s="11"/>
      <c r="F312" s="9"/>
    </row>
    <row r="313" s="1" customFormat="1" customHeight="1" spans="1:6">
      <c r="A313" s="9" t="str">
        <f>"10242101111"</f>
        <v>10242101111</v>
      </c>
      <c r="B313" s="10">
        <v>0</v>
      </c>
      <c r="C313" s="9"/>
      <c r="D313" s="9">
        <f t="shared" si="4"/>
        <v>0</v>
      </c>
      <c r="E313" s="11"/>
      <c r="F313" s="9" t="s">
        <v>7</v>
      </c>
    </row>
    <row r="314" s="1" customFormat="1" customHeight="1" spans="1:6">
      <c r="A314" s="9" t="str">
        <f>"10452101112"</f>
        <v>10452101112</v>
      </c>
      <c r="B314" s="10">
        <v>37.15</v>
      </c>
      <c r="C314" s="9"/>
      <c r="D314" s="9">
        <f t="shared" si="4"/>
        <v>37.15</v>
      </c>
      <c r="E314" s="11"/>
      <c r="F314" s="9"/>
    </row>
    <row r="315" s="1" customFormat="1" customHeight="1" spans="1:6">
      <c r="A315" s="9" t="str">
        <f>"10062101113"</f>
        <v>10062101113</v>
      </c>
      <c r="B315" s="10">
        <v>33.4</v>
      </c>
      <c r="C315" s="9"/>
      <c r="D315" s="9">
        <f t="shared" si="4"/>
        <v>33.4</v>
      </c>
      <c r="E315" s="11"/>
      <c r="F315" s="9"/>
    </row>
    <row r="316" s="1" customFormat="1" customHeight="1" spans="1:6">
      <c r="A316" s="9" t="str">
        <f>"10212101114"</f>
        <v>10212101114</v>
      </c>
      <c r="B316" s="10">
        <v>0</v>
      </c>
      <c r="C316" s="9"/>
      <c r="D316" s="9">
        <f t="shared" si="4"/>
        <v>0</v>
      </c>
      <c r="E316" s="11"/>
      <c r="F316" s="9" t="s">
        <v>7</v>
      </c>
    </row>
    <row r="317" s="1" customFormat="1" customHeight="1" spans="1:6">
      <c r="A317" s="9" t="str">
        <f>"10532101115"</f>
        <v>10532101115</v>
      </c>
      <c r="B317" s="10">
        <v>39.21</v>
      </c>
      <c r="C317" s="9"/>
      <c r="D317" s="9">
        <f t="shared" si="4"/>
        <v>39.21</v>
      </c>
      <c r="E317" s="11"/>
      <c r="F317" s="9"/>
    </row>
    <row r="318" s="1" customFormat="1" customHeight="1" spans="1:6">
      <c r="A318" s="9" t="str">
        <f>"10112101116"</f>
        <v>10112101116</v>
      </c>
      <c r="B318" s="10">
        <v>0</v>
      </c>
      <c r="C318" s="9"/>
      <c r="D318" s="9">
        <f t="shared" si="4"/>
        <v>0</v>
      </c>
      <c r="E318" s="11"/>
      <c r="F318" s="9" t="s">
        <v>7</v>
      </c>
    </row>
    <row r="319" s="1" customFormat="1" customHeight="1" spans="1:6">
      <c r="A319" s="9" t="str">
        <f>"10362101117"</f>
        <v>10362101117</v>
      </c>
      <c r="B319" s="10">
        <v>37.7</v>
      </c>
      <c r="C319" s="9"/>
      <c r="D319" s="9">
        <f t="shared" si="4"/>
        <v>37.7</v>
      </c>
      <c r="E319" s="11"/>
      <c r="F319" s="9"/>
    </row>
    <row r="320" s="1" customFormat="1" customHeight="1" spans="1:6">
      <c r="A320" s="9" t="str">
        <f>"10412101118"</f>
        <v>10412101118</v>
      </c>
      <c r="B320" s="10">
        <v>34.96</v>
      </c>
      <c r="C320" s="9"/>
      <c r="D320" s="9">
        <f t="shared" si="4"/>
        <v>34.96</v>
      </c>
      <c r="E320" s="11"/>
      <c r="F320" s="9"/>
    </row>
    <row r="321" s="1" customFormat="1" customHeight="1" spans="1:6">
      <c r="A321" s="9" t="str">
        <f>"10172101119"</f>
        <v>10172101119</v>
      </c>
      <c r="B321" s="10">
        <v>34.02</v>
      </c>
      <c r="C321" s="9"/>
      <c r="D321" s="9">
        <f t="shared" si="4"/>
        <v>34.02</v>
      </c>
      <c r="E321" s="11"/>
      <c r="F321" s="9"/>
    </row>
    <row r="322" s="1" customFormat="1" customHeight="1" spans="1:6">
      <c r="A322" s="9" t="str">
        <f>"10372101120"</f>
        <v>10372101120</v>
      </c>
      <c r="B322" s="10">
        <v>34.21</v>
      </c>
      <c r="C322" s="9"/>
      <c r="D322" s="9">
        <f t="shared" si="4"/>
        <v>34.21</v>
      </c>
      <c r="E322" s="11"/>
      <c r="F322" s="9"/>
    </row>
    <row r="323" s="1" customFormat="1" customHeight="1" spans="1:6">
      <c r="A323" s="9" t="str">
        <f>"10182101121"</f>
        <v>10182101121</v>
      </c>
      <c r="B323" s="10">
        <v>34.54</v>
      </c>
      <c r="C323" s="9"/>
      <c r="D323" s="9">
        <f t="shared" ref="D323:D386" si="5">SUM(B323:C323)</f>
        <v>34.54</v>
      </c>
      <c r="E323" s="11"/>
      <c r="F323" s="9"/>
    </row>
    <row r="324" s="1" customFormat="1" customHeight="1" spans="1:6">
      <c r="A324" s="9" t="str">
        <f>"10162101122"</f>
        <v>10162101122</v>
      </c>
      <c r="B324" s="10">
        <v>43.08</v>
      </c>
      <c r="C324" s="9"/>
      <c r="D324" s="9">
        <f t="shared" si="5"/>
        <v>43.08</v>
      </c>
      <c r="E324" s="11"/>
      <c r="F324" s="9"/>
    </row>
    <row r="325" s="1" customFormat="1" customHeight="1" spans="1:6">
      <c r="A325" s="9" t="str">
        <f>"10362101123"</f>
        <v>10362101123</v>
      </c>
      <c r="B325" s="10">
        <v>0</v>
      </c>
      <c r="C325" s="9"/>
      <c r="D325" s="9">
        <f t="shared" si="5"/>
        <v>0</v>
      </c>
      <c r="E325" s="11"/>
      <c r="F325" s="9" t="s">
        <v>7</v>
      </c>
    </row>
    <row r="326" s="1" customFormat="1" customHeight="1" spans="1:6">
      <c r="A326" s="9" t="str">
        <f>"10062101124"</f>
        <v>10062101124</v>
      </c>
      <c r="B326" s="10">
        <v>0</v>
      </c>
      <c r="C326" s="9"/>
      <c r="D326" s="9">
        <f t="shared" si="5"/>
        <v>0</v>
      </c>
      <c r="E326" s="11"/>
      <c r="F326" s="9" t="s">
        <v>7</v>
      </c>
    </row>
    <row r="327" s="1" customFormat="1" customHeight="1" spans="1:6">
      <c r="A327" s="9" t="str">
        <f>"10172101125"</f>
        <v>10172101125</v>
      </c>
      <c r="B327" s="10">
        <v>35.3</v>
      </c>
      <c r="C327" s="9"/>
      <c r="D327" s="9">
        <f t="shared" si="5"/>
        <v>35.3</v>
      </c>
      <c r="E327" s="11"/>
      <c r="F327" s="9"/>
    </row>
    <row r="328" s="1" customFormat="1" customHeight="1" spans="1:6">
      <c r="A328" s="9" t="str">
        <f>"10442101126"</f>
        <v>10442101126</v>
      </c>
      <c r="B328" s="10">
        <v>34.87</v>
      </c>
      <c r="C328" s="9"/>
      <c r="D328" s="9">
        <f t="shared" si="5"/>
        <v>34.87</v>
      </c>
      <c r="E328" s="11"/>
      <c r="F328" s="9"/>
    </row>
    <row r="329" s="1" customFormat="1" customHeight="1" spans="1:6">
      <c r="A329" s="9" t="str">
        <f>"10072101127"</f>
        <v>10072101127</v>
      </c>
      <c r="B329" s="10">
        <v>51.77</v>
      </c>
      <c r="C329" s="9"/>
      <c r="D329" s="9">
        <f t="shared" si="5"/>
        <v>51.77</v>
      </c>
      <c r="E329" s="11"/>
      <c r="F329" s="9"/>
    </row>
    <row r="330" s="1" customFormat="1" customHeight="1" spans="1:6">
      <c r="A330" s="9" t="str">
        <f>"10362101128"</f>
        <v>10362101128</v>
      </c>
      <c r="B330" s="10">
        <v>0</v>
      </c>
      <c r="C330" s="9"/>
      <c r="D330" s="9">
        <f t="shared" si="5"/>
        <v>0</v>
      </c>
      <c r="E330" s="11"/>
      <c r="F330" s="9" t="s">
        <v>7</v>
      </c>
    </row>
    <row r="331" s="1" customFormat="1" customHeight="1" spans="1:6">
      <c r="A331" s="9" t="str">
        <f>"10362101129"</f>
        <v>10362101129</v>
      </c>
      <c r="B331" s="10">
        <v>29.24</v>
      </c>
      <c r="C331" s="9"/>
      <c r="D331" s="9">
        <f t="shared" si="5"/>
        <v>29.24</v>
      </c>
      <c r="E331" s="11"/>
      <c r="F331" s="9"/>
    </row>
    <row r="332" s="1" customFormat="1" customHeight="1" spans="1:6">
      <c r="A332" s="9" t="str">
        <f>"10442101130"</f>
        <v>10442101130</v>
      </c>
      <c r="B332" s="10">
        <v>0</v>
      </c>
      <c r="C332" s="9"/>
      <c r="D332" s="9">
        <f t="shared" si="5"/>
        <v>0</v>
      </c>
      <c r="E332" s="11"/>
      <c r="F332" s="9" t="s">
        <v>7</v>
      </c>
    </row>
    <row r="333" s="1" customFormat="1" customHeight="1" spans="1:6">
      <c r="A333" s="9" t="str">
        <f>"10522101201"</f>
        <v>10522101201</v>
      </c>
      <c r="B333" s="10">
        <v>38.15</v>
      </c>
      <c r="C333" s="9"/>
      <c r="D333" s="9">
        <f t="shared" si="5"/>
        <v>38.15</v>
      </c>
      <c r="E333" s="11"/>
      <c r="F333" s="9"/>
    </row>
    <row r="334" s="1" customFormat="1" customHeight="1" spans="1:6">
      <c r="A334" s="9" t="str">
        <f>"10082101202"</f>
        <v>10082101202</v>
      </c>
      <c r="B334" s="10">
        <v>37.93</v>
      </c>
      <c r="C334" s="9"/>
      <c r="D334" s="9">
        <f t="shared" si="5"/>
        <v>37.93</v>
      </c>
      <c r="E334" s="11"/>
      <c r="F334" s="9"/>
    </row>
    <row r="335" s="1" customFormat="1" customHeight="1" spans="1:6">
      <c r="A335" s="9" t="str">
        <f>"10352101203"</f>
        <v>10352101203</v>
      </c>
      <c r="B335" s="10">
        <v>45.08</v>
      </c>
      <c r="C335" s="9"/>
      <c r="D335" s="9">
        <f t="shared" si="5"/>
        <v>45.08</v>
      </c>
      <c r="E335" s="11"/>
      <c r="F335" s="9"/>
    </row>
    <row r="336" s="1" customFormat="1" customHeight="1" spans="1:6">
      <c r="A336" s="9" t="str">
        <f>"10292101204"</f>
        <v>10292101204</v>
      </c>
      <c r="B336" s="10">
        <v>0</v>
      </c>
      <c r="C336" s="9"/>
      <c r="D336" s="9">
        <f t="shared" si="5"/>
        <v>0</v>
      </c>
      <c r="E336" s="11"/>
      <c r="F336" s="9" t="s">
        <v>7</v>
      </c>
    </row>
    <row r="337" s="1" customFormat="1" customHeight="1" spans="1:6">
      <c r="A337" s="9" t="str">
        <f>"10172101205"</f>
        <v>10172101205</v>
      </c>
      <c r="B337" s="10">
        <v>35.93</v>
      </c>
      <c r="C337" s="9"/>
      <c r="D337" s="9">
        <f t="shared" si="5"/>
        <v>35.93</v>
      </c>
      <c r="E337" s="11"/>
      <c r="F337" s="9"/>
    </row>
    <row r="338" s="1" customFormat="1" customHeight="1" spans="1:6">
      <c r="A338" s="9" t="str">
        <f>"10362101206"</f>
        <v>10362101206</v>
      </c>
      <c r="B338" s="10">
        <v>36.37</v>
      </c>
      <c r="C338" s="9"/>
      <c r="D338" s="9">
        <f t="shared" si="5"/>
        <v>36.37</v>
      </c>
      <c r="E338" s="11"/>
      <c r="F338" s="9"/>
    </row>
    <row r="339" s="1" customFormat="1" customHeight="1" spans="1:6">
      <c r="A339" s="9" t="str">
        <f>"10362101207"</f>
        <v>10362101207</v>
      </c>
      <c r="B339" s="10">
        <v>39.48</v>
      </c>
      <c r="C339" s="9"/>
      <c r="D339" s="9">
        <f t="shared" si="5"/>
        <v>39.48</v>
      </c>
      <c r="E339" s="11"/>
      <c r="F339" s="9"/>
    </row>
    <row r="340" s="1" customFormat="1" customHeight="1" spans="1:6">
      <c r="A340" s="9" t="str">
        <f>"10062101208"</f>
        <v>10062101208</v>
      </c>
      <c r="B340" s="10">
        <v>0</v>
      </c>
      <c r="C340" s="9"/>
      <c r="D340" s="9">
        <f t="shared" si="5"/>
        <v>0</v>
      </c>
      <c r="E340" s="11"/>
      <c r="F340" s="9" t="s">
        <v>7</v>
      </c>
    </row>
    <row r="341" s="1" customFormat="1" customHeight="1" spans="1:6">
      <c r="A341" s="9" t="str">
        <f>"20182101209"</f>
        <v>20182101209</v>
      </c>
      <c r="B341" s="10">
        <v>45.85</v>
      </c>
      <c r="C341" s="9"/>
      <c r="D341" s="9">
        <f t="shared" si="5"/>
        <v>45.85</v>
      </c>
      <c r="E341" s="11"/>
      <c r="F341" s="9"/>
    </row>
    <row r="342" s="1" customFormat="1" customHeight="1" spans="1:6">
      <c r="A342" s="9" t="str">
        <f>"10432101210"</f>
        <v>10432101210</v>
      </c>
      <c r="B342" s="10">
        <v>37.43</v>
      </c>
      <c r="C342" s="9"/>
      <c r="D342" s="9">
        <f t="shared" si="5"/>
        <v>37.43</v>
      </c>
      <c r="E342" s="11"/>
      <c r="F342" s="9"/>
    </row>
    <row r="343" s="1" customFormat="1" customHeight="1" spans="1:6">
      <c r="A343" s="9" t="str">
        <f>"10132101211"</f>
        <v>10132101211</v>
      </c>
      <c r="B343" s="10">
        <v>0</v>
      </c>
      <c r="C343" s="9"/>
      <c r="D343" s="9">
        <f t="shared" si="5"/>
        <v>0</v>
      </c>
      <c r="E343" s="11"/>
      <c r="F343" s="9" t="s">
        <v>7</v>
      </c>
    </row>
    <row r="344" s="1" customFormat="1" customHeight="1" spans="1:6">
      <c r="A344" s="9" t="str">
        <f>"10532101212"</f>
        <v>10532101212</v>
      </c>
      <c r="B344" s="10">
        <v>0</v>
      </c>
      <c r="C344" s="9"/>
      <c r="D344" s="9">
        <f t="shared" si="5"/>
        <v>0</v>
      </c>
      <c r="E344" s="11"/>
      <c r="F344" s="9" t="s">
        <v>7</v>
      </c>
    </row>
    <row r="345" s="1" customFormat="1" customHeight="1" spans="1:6">
      <c r="A345" s="9" t="str">
        <f>"10532101213"</f>
        <v>10532101213</v>
      </c>
      <c r="B345" s="10">
        <v>33.25</v>
      </c>
      <c r="C345" s="9"/>
      <c r="D345" s="9">
        <f t="shared" si="5"/>
        <v>33.25</v>
      </c>
      <c r="E345" s="11"/>
      <c r="F345" s="9"/>
    </row>
    <row r="346" s="1" customFormat="1" customHeight="1" spans="1:6">
      <c r="A346" s="9" t="str">
        <f>"10062101214"</f>
        <v>10062101214</v>
      </c>
      <c r="B346" s="10">
        <v>0</v>
      </c>
      <c r="C346" s="9"/>
      <c r="D346" s="9">
        <f t="shared" si="5"/>
        <v>0</v>
      </c>
      <c r="E346" s="11"/>
      <c r="F346" s="9" t="s">
        <v>7</v>
      </c>
    </row>
    <row r="347" s="1" customFormat="1" customHeight="1" spans="1:6">
      <c r="A347" s="9" t="str">
        <f>"10232101215"</f>
        <v>10232101215</v>
      </c>
      <c r="B347" s="10">
        <v>51.29</v>
      </c>
      <c r="C347" s="9"/>
      <c r="D347" s="9">
        <f t="shared" si="5"/>
        <v>51.29</v>
      </c>
      <c r="E347" s="11"/>
      <c r="F347" s="9"/>
    </row>
    <row r="348" s="1" customFormat="1" customHeight="1" spans="1:6">
      <c r="A348" s="9" t="str">
        <f>"10062101216"</f>
        <v>10062101216</v>
      </c>
      <c r="B348" s="10">
        <v>39.49</v>
      </c>
      <c r="C348" s="9"/>
      <c r="D348" s="9">
        <f t="shared" si="5"/>
        <v>39.49</v>
      </c>
      <c r="E348" s="11"/>
      <c r="F348" s="9"/>
    </row>
    <row r="349" s="1" customFormat="1" customHeight="1" spans="1:6">
      <c r="A349" s="9" t="str">
        <f>"10362101217"</f>
        <v>10362101217</v>
      </c>
      <c r="B349" s="10">
        <v>39.91</v>
      </c>
      <c r="C349" s="9"/>
      <c r="D349" s="9">
        <f t="shared" si="5"/>
        <v>39.91</v>
      </c>
      <c r="E349" s="11"/>
      <c r="F349" s="9"/>
    </row>
    <row r="350" s="1" customFormat="1" customHeight="1" spans="1:6">
      <c r="A350" s="9" t="str">
        <f>"10462101218"</f>
        <v>10462101218</v>
      </c>
      <c r="B350" s="10">
        <v>35.92</v>
      </c>
      <c r="C350" s="9"/>
      <c r="D350" s="9">
        <f t="shared" si="5"/>
        <v>35.92</v>
      </c>
      <c r="E350" s="11"/>
      <c r="F350" s="9"/>
    </row>
    <row r="351" s="1" customFormat="1" customHeight="1" spans="1:6">
      <c r="A351" s="9" t="str">
        <f>"10362101219"</f>
        <v>10362101219</v>
      </c>
      <c r="B351" s="10">
        <v>24.26</v>
      </c>
      <c r="C351" s="9"/>
      <c r="D351" s="9">
        <f t="shared" si="5"/>
        <v>24.26</v>
      </c>
      <c r="E351" s="11"/>
      <c r="F351" s="9"/>
    </row>
    <row r="352" s="1" customFormat="1" customHeight="1" spans="1:6">
      <c r="A352" s="9" t="str">
        <f>"10092101220"</f>
        <v>10092101220</v>
      </c>
      <c r="B352" s="10">
        <v>0</v>
      </c>
      <c r="C352" s="9"/>
      <c r="D352" s="9">
        <f t="shared" si="5"/>
        <v>0</v>
      </c>
      <c r="E352" s="11"/>
      <c r="F352" s="9" t="s">
        <v>7</v>
      </c>
    </row>
    <row r="353" s="1" customFormat="1" customHeight="1" spans="1:6">
      <c r="A353" s="9" t="str">
        <f>"10442101221"</f>
        <v>10442101221</v>
      </c>
      <c r="B353" s="10">
        <v>33.79</v>
      </c>
      <c r="C353" s="9"/>
      <c r="D353" s="9">
        <f t="shared" si="5"/>
        <v>33.79</v>
      </c>
      <c r="E353" s="11"/>
      <c r="F353" s="9"/>
    </row>
    <row r="354" s="1" customFormat="1" customHeight="1" spans="1:6">
      <c r="A354" s="9" t="str">
        <f>"10102101222"</f>
        <v>10102101222</v>
      </c>
      <c r="B354" s="10">
        <v>0</v>
      </c>
      <c r="C354" s="9"/>
      <c r="D354" s="9">
        <f t="shared" si="5"/>
        <v>0</v>
      </c>
      <c r="E354" s="11"/>
      <c r="F354" s="9" t="s">
        <v>7</v>
      </c>
    </row>
    <row r="355" s="1" customFormat="1" customHeight="1" spans="1:6">
      <c r="A355" s="9" t="str">
        <f>"10442101223"</f>
        <v>10442101223</v>
      </c>
      <c r="B355" s="10">
        <v>43.92</v>
      </c>
      <c r="C355" s="9"/>
      <c r="D355" s="9">
        <f t="shared" si="5"/>
        <v>43.92</v>
      </c>
      <c r="E355" s="11"/>
      <c r="F355" s="9"/>
    </row>
    <row r="356" s="1" customFormat="1" customHeight="1" spans="1:6">
      <c r="A356" s="9" t="str">
        <f>"10512101224"</f>
        <v>10512101224</v>
      </c>
      <c r="B356" s="10">
        <v>28.84</v>
      </c>
      <c r="C356" s="9"/>
      <c r="D356" s="9">
        <f t="shared" si="5"/>
        <v>28.84</v>
      </c>
      <c r="E356" s="11"/>
      <c r="F356" s="9"/>
    </row>
    <row r="357" s="1" customFormat="1" customHeight="1" spans="1:6">
      <c r="A357" s="9" t="str">
        <f>"10102101225"</f>
        <v>10102101225</v>
      </c>
      <c r="B357" s="10">
        <v>36.66</v>
      </c>
      <c r="C357" s="9"/>
      <c r="D357" s="9">
        <f t="shared" si="5"/>
        <v>36.66</v>
      </c>
      <c r="E357" s="11"/>
      <c r="F357" s="9"/>
    </row>
    <row r="358" s="1" customFormat="1" customHeight="1" spans="1:6">
      <c r="A358" s="9" t="str">
        <f>"10202101226"</f>
        <v>10202101226</v>
      </c>
      <c r="B358" s="10">
        <v>34.32</v>
      </c>
      <c r="C358" s="9"/>
      <c r="D358" s="9">
        <f t="shared" si="5"/>
        <v>34.32</v>
      </c>
      <c r="E358" s="11"/>
      <c r="F358" s="9"/>
    </row>
    <row r="359" s="1" customFormat="1" customHeight="1" spans="1:6">
      <c r="A359" s="9" t="str">
        <f>"10332101227"</f>
        <v>10332101227</v>
      </c>
      <c r="B359" s="10">
        <v>36.21</v>
      </c>
      <c r="C359" s="9"/>
      <c r="D359" s="9">
        <f t="shared" si="5"/>
        <v>36.21</v>
      </c>
      <c r="E359" s="11"/>
      <c r="F359" s="9"/>
    </row>
    <row r="360" s="1" customFormat="1" customHeight="1" spans="1:6">
      <c r="A360" s="9" t="str">
        <f>"10342101228"</f>
        <v>10342101228</v>
      </c>
      <c r="B360" s="10">
        <v>0</v>
      </c>
      <c r="C360" s="9"/>
      <c r="D360" s="9">
        <f t="shared" si="5"/>
        <v>0</v>
      </c>
      <c r="E360" s="11"/>
      <c r="F360" s="9" t="s">
        <v>7</v>
      </c>
    </row>
    <row r="361" s="1" customFormat="1" customHeight="1" spans="1:6">
      <c r="A361" s="9" t="str">
        <f>"10532101229"</f>
        <v>10532101229</v>
      </c>
      <c r="B361" s="10">
        <v>0</v>
      </c>
      <c r="C361" s="9"/>
      <c r="D361" s="9">
        <f t="shared" si="5"/>
        <v>0</v>
      </c>
      <c r="E361" s="11"/>
      <c r="F361" s="9" t="s">
        <v>7</v>
      </c>
    </row>
    <row r="362" s="1" customFormat="1" customHeight="1" spans="1:6">
      <c r="A362" s="9" t="str">
        <f>"10062101230"</f>
        <v>10062101230</v>
      </c>
      <c r="B362" s="10">
        <v>43.24</v>
      </c>
      <c r="C362" s="9"/>
      <c r="D362" s="9">
        <f t="shared" si="5"/>
        <v>43.24</v>
      </c>
      <c r="E362" s="11"/>
      <c r="F362" s="9"/>
    </row>
    <row r="363" s="1" customFormat="1" customHeight="1" spans="1:6">
      <c r="A363" s="9" t="str">
        <f>"10212101301"</f>
        <v>10212101301</v>
      </c>
      <c r="B363" s="10">
        <v>34.14</v>
      </c>
      <c r="C363" s="9"/>
      <c r="D363" s="9">
        <f t="shared" si="5"/>
        <v>34.14</v>
      </c>
      <c r="E363" s="11"/>
      <c r="F363" s="9"/>
    </row>
    <row r="364" s="1" customFormat="1" customHeight="1" spans="1:6">
      <c r="A364" s="9" t="str">
        <f>"10532101302"</f>
        <v>10532101302</v>
      </c>
      <c r="B364" s="10">
        <v>0</v>
      </c>
      <c r="C364" s="9"/>
      <c r="D364" s="9">
        <f t="shared" si="5"/>
        <v>0</v>
      </c>
      <c r="E364" s="11"/>
      <c r="F364" s="9" t="s">
        <v>7</v>
      </c>
    </row>
    <row r="365" s="1" customFormat="1" customHeight="1" spans="1:6">
      <c r="A365" s="9" t="str">
        <f>"10422101303"</f>
        <v>10422101303</v>
      </c>
      <c r="B365" s="10">
        <v>36.8</v>
      </c>
      <c r="C365" s="9"/>
      <c r="D365" s="9">
        <f t="shared" si="5"/>
        <v>36.8</v>
      </c>
      <c r="E365" s="11"/>
      <c r="F365" s="9"/>
    </row>
    <row r="366" s="1" customFormat="1" customHeight="1" spans="1:6">
      <c r="A366" s="9" t="str">
        <f>"10502101304"</f>
        <v>10502101304</v>
      </c>
      <c r="B366" s="10">
        <v>32.33</v>
      </c>
      <c r="C366" s="9"/>
      <c r="D366" s="9">
        <f t="shared" si="5"/>
        <v>32.33</v>
      </c>
      <c r="E366" s="11"/>
      <c r="F366" s="9"/>
    </row>
    <row r="367" s="1" customFormat="1" customHeight="1" spans="1:6">
      <c r="A367" s="9" t="str">
        <f>"10422101305"</f>
        <v>10422101305</v>
      </c>
      <c r="B367" s="10">
        <v>48.98</v>
      </c>
      <c r="C367" s="9"/>
      <c r="D367" s="9">
        <f t="shared" si="5"/>
        <v>48.98</v>
      </c>
      <c r="E367" s="11"/>
      <c r="F367" s="9"/>
    </row>
    <row r="368" s="1" customFormat="1" customHeight="1" spans="1:6">
      <c r="A368" s="9" t="str">
        <f>"10142101306"</f>
        <v>10142101306</v>
      </c>
      <c r="B368" s="10">
        <v>37.68</v>
      </c>
      <c r="C368" s="9"/>
      <c r="D368" s="9">
        <f t="shared" si="5"/>
        <v>37.68</v>
      </c>
      <c r="E368" s="11"/>
      <c r="F368" s="9"/>
    </row>
    <row r="369" s="1" customFormat="1" customHeight="1" spans="1:6">
      <c r="A369" s="9" t="str">
        <f>"10282101307"</f>
        <v>10282101307</v>
      </c>
      <c r="B369" s="10">
        <v>0</v>
      </c>
      <c r="C369" s="9"/>
      <c r="D369" s="9">
        <f t="shared" si="5"/>
        <v>0</v>
      </c>
      <c r="E369" s="11"/>
      <c r="F369" s="9" t="s">
        <v>7</v>
      </c>
    </row>
    <row r="370" s="1" customFormat="1" customHeight="1" spans="1:6">
      <c r="A370" s="9" t="str">
        <f>"20272101308"</f>
        <v>20272101308</v>
      </c>
      <c r="B370" s="10">
        <v>0</v>
      </c>
      <c r="C370" s="9"/>
      <c r="D370" s="9">
        <f t="shared" si="5"/>
        <v>0</v>
      </c>
      <c r="E370" s="11"/>
      <c r="F370" s="9" t="s">
        <v>7</v>
      </c>
    </row>
    <row r="371" s="1" customFormat="1" customHeight="1" spans="1:6">
      <c r="A371" s="9" t="str">
        <f>"10232101309"</f>
        <v>10232101309</v>
      </c>
      <c r="B371" s="10">
        <v>37.4</v>
      </c>
      <c r="C371" s="9"/>
      <c r="D371" s="9">
        <f t="shared" si="5"/>
        <v>37.4</v>
      </c>
      <c r="E371" s="11"/>
      <c r="F371" s="9"/>
    </row>
    <row r="372" s="1" customFormat="1" customHeight="1" spans="1:6">
      <c r="A372" s="9" t="str">
        <f>"10502101310"</f>
        <v>10502101310</v>
      </c>
      <c r="B372" s="10">
        <v>42.66</v>
      </c>
      <c r="C372" s="9"/>
      <c r="D372" s="9">
        <f t="shared" si="5"/>
        <v>42.66</v>
      </c>
      <c r="E372" s="11"/>
      <c r="F372" s="9"/>
    </row>
    <row r="373" s="1" customFormat="1" customHeight="1" spans="1:6">
      <c r="A373" s="9" t="str">
        <f>"10122101311"</f>
        <v>10122101311</v>
      </c>
      <c r="B373" s="10">
        <v>37.27</v>
      </c>
      <c r="C373" s="9"/>
      <c r="D373" s="9">
        <f t="shared" si="5"/>
        <v>37.27</v>
      </c>
      <c r="E373" s="11"/>
      <c r="F373" s="9"/>
    </row>
    <row r="374" s="1" customFormat="1" customHeight="1" spans="1:6">
      <c r="A374" s="9" t="str">
        <f>"10272101312"</f>
        <v>10272101312</v>
      </c>
      <c r="B374" s="10">
        <v>43.11</v>
      </c>
      <c r="C374" s="9"/>
      <c r="D374" s="9">
        <f t="shared" si="5"/>
        <v>43.11</v>
      </c>
      <c r="E374" s="11"/>
      <c r="F374" s="9"/>
    </row>
    <row r="375" s="1" customFormat="1" customHeight="1" spans="1:6">
      <c r="A375" s="9" t="str">
        <f>"10302101313"</f>
        <v>10302101313</v>
      </c>
      <c r="B375" s="10">
        <v>45.61</v>
      </c>
      <c r="C375" s="9"/>
      <c r="D375" s="9">
        <f t="shared" si="5"/>
        <v>45.61</v>
      </c>
      <c r="E375" s="11"/>
      <c r="F375" s="9"/>
    </row>
    <row r="376" s="1" customFormat="1" customHeight="1" spans="1:6">
      <c r="A376" s="9" t="str">
        <f>"10122101314"</f>
        <v>10122101314</v>
      </c>
      <c r="B376" s="10">
        <v>35.62</v>
      </c>
      <c r="C376" s="9"/>
      <c r="D376" s="9">
        <f t="shared" si="5"/>
        <v>35.62</v>
      </c>
      <c r="E376" s="11"/>
      <c r="F376" s="9"/>
    </row>
    <row r="377" s="1" customFormat="1" customHeight="1" spans="1:6">
      <c r="A377" s="9" t="str">
        <f>"10442101315"</f>
        <v>10442101315</v>
      </c>
      <c r="B377" s="10">
        <v>0</v>
      </c>
      <c r="C377" s="9"/>
      <c r="D377" s="9">
        <f t="shared" si="5"/>
        <v>0</v>
      </c>
      <c r="E377" s="11"/>
      <c r="F377" s="9" t="s">
        <v>7</v>
      </c>
    </row>
    <row r="378" s="1" customFormat="1" customHeight="1" spans="1:6">
      <c r="A378" s="9" t="str">
        <f>"10212101316"</f>
        <v>10212101316</v>
      </c>
      <c r="B378" s="10">
        <v>35.24</v>
      </c>
      <c r="C378" s="9"/>
      <c r="D378" s="9">
        <f t="shared" si="5"/>
        <v>35.24</v>
      </c>
      <c r="E378" s="11"/>
      <c r="F378" s="9"/>
    </row>
    <row r="379" s="1" customFormat="1" customHeight="1" spans="1:6">
      <c r="A379" s="9" t="str">
        <f>"10362101317"</f>
        <v>10362101317</v>
      </c>
      <c r="B379" s="10">
        <v>39.42</v>
      </c>
      <c r="C379" s="9"/>
      <c r="D379" s="9">
        <f t="shared" si="5"/>
        <v>39.42</v>
      </c>
      <c r="E379" s="11"/>
      <c r="F379" s="9"/>
    </row>
    <row r="380" s="1" customFormat="1" customHeight="1" spans="1:6">
      <c r="A380" s="9" t="str">
        <f>"10362101318"</f>
        <v>10362101318</v>
      </c>
      <c r="B380" s="10">
        <v>40.86</v>
      </c>
      <c r="C380" s="9"/>
      <c r="D380" s="9">
        <f t="shared" si="5"/>
        <v>40.86</v>
      </c>
      <c r="E380" s="11"/>
      <c r="F380" s="9"/>
    </row>
    <row r="381" s="1" customFormat="1" customHeight="1" spans="1:6">
      <c r="A381" s="9" t="str">
        <f>"10332101319"</f>
        <v>10332101319</v>
      </c>
      <c r="B381" s="10">
        <v>38.28</v>
      </c>
      <c r="C381" s="9"/>
      <c r="D381" s="9">
        <f t="shared" si="5"/>
        <v>38.28</v>
      </c>
      <c r="E381" s="11"/>
      <c r="F381" s="9"/>
    </row>
    <row r="382" s="1" customFormat="1" customHeight="1" spans="1:6">
      <c r="A382" s="9" t="str">
        <f>"10142101320"</f>
        <v>10142101320</v>
      </c>
      <c r="B382" s="10">
        <v>42.63</v>
      </c>
      <c r="C382" s="9"/>
      <c r="D382" s="9">
        <f t="shared" si="5"/>
        <v>42.63</v>
      </c>
      <c r="E382" s="11"/>
      <c r="F382" s="9"/>
    </row>
    <row r="383" s="1" customFormat="1" customHeight="1" spans="1:6">
      <c r="A383" s="9" t="str">
        <f>"10142101321"</f>
        <v>10142101321</v>
      </c>
      <c r="B383" s="10">
        <v>40.39</v>
      </c>
      <c r="C383" s="9"/>
      <c r="D383" s="9">
        <f t="shared" si="5"/>
        <v>40.39</v>
      </c>
      <c r="E383" s="11"/>
      <c r="F383" s="9"/>
    </row>
    <row r="384" s="1" customFormat="1" customHeight="1" spans="1:6">
      <c r="A384" s="9" t="str">
        <f>"10362101322"</f>
        <v>10362101322</v>
      </c>
      <c r="B384" s="10">
        <v>39</v>
      </c>
      <c r="C384" s="9"/>
      <c r="D384" s="9">
        <f t="shared" si="5"/>
        <v>39</v>
      </c>
      <c r="E384" s="11"/>
      <c r="F384" s="9"/>
    </row>
    <row r="385" s="1" customFormat="1" customHeight="1" spans="1:6">
      <c r="A385" s="9" t="str">
        <f>"10532101323"</f>
        <v>10532101323</v>
      </c>
      <c r="B385" s="10">
        <v>39.98</v>
      </c>
      <c r="C385" s="9"/>
      <c r="D385" s="9">
        <f t="shared" si="5"/>
        <v>39.98</v>
      </c>
      <c r="E385" s="11"/>
      <c r="F385" s="9"/>
    </row>
    <row r="386" s="1" customFormat="1" customHeight="1" spans="1:6">
      <c r="A386" s="9" t="str">
        <f>"10122101324"</f>
        <v>10122101324</v>
      </c>
      <c r="B386" s="10">
        <v>37.34</v>
      </c>
      <c r="C386" s="9"/>
      <c r="D386" s="9">
        <f t="shared" si="5"/>
        <v>37.34</v>
      </c>
      <c r="E386" s="11"/>
      <c r="F386" s="9"/>
    </row>
    <row r="387" s="1" customFormat="1" customHeight="1" spans="1:6">
      <c r="A387" s="9" t="str">
        <f>"10092101325"</f>
        <v>10092101325</v>
      </c>
      <c r="B387" s="10">
        <v>36.69</v>
      </c>
      <c r="C387" s="9"/>
      <c r="D387" s="9">
        <f t="shared" ref="D387:D450" si="6">SUM(B387:C387)</f>
        <v>36.69</v>
      </c>
      <c r="E387" s="11"/>
      <c r="F387" s="9"/>
    </row>
    <row r="388" s="1" customFormat="1" customHeight="1" spans="1:6">
      <c r="A388" s="9" t="str">
        <f>"10302101326"</f>
        <v>10302101326</v>
      </c>
      <c r="B388" s="10">
        <v>41.55</v>
      </c>
      <c r="C388" s="9"/>
      <c r="D388" s="9">
        <f t="shared" si="6"/>
        <v>41.55</v>
      </c>
      <c r="E388" s="11"/>
      <c r="F388" s="9"/>
    </row>
    <row r="389" s="1" customFormat="1" customHeight="1" spans="1:6">
      <c r="A389" s="9" t="str">
        <f>"20272101327"</f>
        <v>20272101327</v>
      </c>
      <c r="B389" s="10">
        <v>33.75</v>
      </c>
      <c r="C389" s="9"/>
      <c r="D389" s="9">
        <f t="shared" si="6"/>
        <v>33.75</v>
      </c>
      <c r="E389" s="11"/>
      <c r="F389" s="9"/>
    </row>
    <row r="390" s="1" customFormat="1" customHeight="1" spans="1:6">
      <c r="A390" s="9" t="str">
        <f>"10502101328"</f>
        <v>10502101328</v>
      </c>
      <c r="B390" s="10">
        <v>24.31</v>
      </c>
      <c r="C390" s="9"/>
      <c r="D390" s="9">
        <f t="shared" si="6"/>
        <v>24.31</v>
      </c>
      <c r="E390" s="11"/>
      <c r="F390" s="9"/>
    </row>
    <row r="391" s="1" customFormat="1" customHeight="1" spans="1:6">
      <c r="A391" s="9" t="str">
        <f>"10112101329"</f>
        <v>10112101329</v>
      </c>
      <c r="B391" s="10">
        <v>38.45</v>
      </c>
      <c r="C391" s="9"/>
      <c r="D391" s="9">
        <f t="shared" si="6"/>
        <v>38.45</v>
      </c>
      <c r="E391" s="11"/>
      <c r="F391" s="9"/>
    </row>
    <row r="392" s="1" customFormat="1" customHeight="1" spans="1:6">
      <c r="A392" s="9" t="str">
        <f>"10392101330"</f>
        <v>10392101330</v>
      </c>
      <c r="B392" s="10">
        <v>45.6</v>
      </c>
      <c r="C392" s="9"/>
      <c r="D392" s="9">
        <f t="shared" si="6"/>
        <v>45.6</v>
      </c>
      <c r="E392" s="11"/>
      <c r="F392" s="9"/>
    </row>
    <row r="393" s="1" customFormat="1" customHeight="1" spans="1:6">
      <c r="A393" s="9" t="str">
        <f>"10122101401"</f>
        <v>10122101401</v>
      </c>
      <c r="B393" s="10">
        <v>0</v>
      </c>
      <c r="C393" s="9"/>
      <c r="D393" s="9">
        <f t="shared" si="6"/>
        <v>0</v>
      </c>
      <c r="E393" s="11"/>
      <c r="F393" s="9" t="s">
        <v>7</v>
      </c>
    </row>
    <row r="394" s="1" customFormat="1" customHeight="1" spans="1:6">
      <c r="A394" s="9" t="str">
        <f>"10362101402"</f>
        <v>10362101402</v>
      </c>
      <c r="B394" s="10">
        <v>0</v>
      </c>
      <c r="C394" s="9"/>
      <c r="D394" s="9">
        <f t="shared" si="6"/>
        <v>0</v>
      </c>
      <c r="E394" s="11"/>
      <c r="F394" s="9" t="s">
        <v>7</v>
      </c>
    </row>
    <row r="395" s="1" customFormat="1" customHeight="1" spans="1:6">
      <c r="A395" s="9" t="str">
        <f>"10362101403"</f>
        <v>10362101403</v>
      </c>
      <c r="B395" s="10">
        <v>49.08</v>
      </c>
      <c r="C395" s="9"/>
      <c r="D395" s="9">
        <f t="shared" si="6"/>
        <v>49.08</v>
      </c>
      <c r="E395" s="11"/>
      <c r="F395" s="9"/>
    </row>
    <row r="396" s="1" customFormat="1" customHeight="1" spans="1:6">
      <c r="A396" s="9" t="str">
        <f>"10322101404"</f>
        <v>10322101404</v>
      </c>
      <c r="B396" s="10">
        <v>44.98</v>
      </c>
      <c r="C396" s="9"/>
      <c r="D396" s="9">
        <f t="shared" si="6"/>
        <v>44.98</v>
      </c>
      <c r="E396" s="11"/>
      <c r="F396" s="9"/>
    </row>
    <row r="397" s="1" customFormat="1" customHeight="1" spans="1:6">
      <c r="A397" s="9" t="str">
        <f>"10142101405"</f>
        <v>10142101405</v>
      </c>
      <c r="B397" s="10">
        <v>49.38</v>
      </c>
      <c r="C397" s="9"/>
      <c r="D397" s="9">
        <f t="shared" si="6"/>
        <v>49.38</v>
      </c>
      <c r="E397" s="11"/>
      <c r="F397" s="9"/>
    </row>
    <row r="398" s="1" customFormat="1" customHeight="1" spans="1:6">
      <c r="A398" s="9" t="str">
        <f>"10362101406"</f>
        <v>10362101406</v>
      </c>
      <c r="B398" s="10">
        <v>0</v>
      </c>
      <c r="C398" s="9"/>
      <c r="D398" s="9">
        <f t="shared" si="6"/>
        <v>0</v>
      </c>
      <c r="E398" s="11"/>
      <c r="F398" s="9" t="s">
        <v>7</v>
      </c>
    </row>
    <row r="399" s="1" customFormat="1" customHeight="1" spans="1:6">
      <c r="A399" s="9" t="str">
        <f>"10442101407"</f>
        <v>10442101407</v>
      </c>
      <c r="B399" s="10">
        <v>36.59</v>
      </c>
      <c r="C399" s="9"/>
      <c r="D399" s="9">
        <f t="shared" si="6"/>
        <v>36.59</v>
      </c>
      <c r="E399" s="11"/>
      <c r="F399" s="9"/>
    </row>
    <row r="400" s="1" customFormat="1" customHeight="1" spans="1:6">
      <c r="A400" s="9" t="str">
        <f>"10532101408"</f>
        <v>10532101408</v>
      </c>
      <c r="B400" s="10">
        <v>0</v>
      </c>
      <c r="C400" s="9"/>
      <c r="D400" s="9">
        <f t="shared" si="6"/>
        <v>0</v>
      </c>
      <c r="E400" s="11"/>
      <c r="F400" s="9" t="s">
        <v>7</v>
      </c>
    </row>
    <row r="401" s="1" customFormat="1" customHeight="1" spans="1:6">
      <c r="A401" s="9" t="str">
        <f>"10202101409"</f>
        <v>10202101409</v>
      </c>
      <c r="B401" s="10">
        <v>36.1</v>
      </c>
      <c r="C401" s="9">
        <v>10</v>
      </c>
      <c r="D401" s="9">
        <f t="shared" si="6"/>
        <v>46.1</v>
      </c>
      <c r="E401" s="12" t="s">
        <v>8</v>
      </c>
      <c r="F401" s="9"/>
    </row>
    <row r="402" s="1" customFormat="1" customHeight="1" spans="1:6">
      <c r="A402" s="9" t="str">
        <f>"10202101410"</f>
        <v>10202101410</v>
      </c>
      <c r="B402" s="10">
        <v>0</v>
      </c>
      <c r="C402" s="9"/>
      <c r="D402" s="9">
        <f t="shared" si="6"/>
        <v>0</v>
      </c>
      <c r="E402" s="11"/>
      <c r="F402" s="9" t="s">
        <v>7</v>
      </c>
    </row>
    <row r="403" s="1" customFormat="1" customHeight="1" spans="1:6">
      <c r="A403" s="9" t="str">
        <f>"10512101411"</f>
        <v>10512101411</v>
      </c>
      <c r="B403" s="10">
        <v>40.23</v>
      </c>
      <c r="C403" s="9"/>
      <c r="D403" s="9">
        <f t="shared" si="6"/>
        <v>40.23</v>
      </c>
      <c r="E403" s="11"/>
      <c r="F403" s="9"/>
    </row>
    <row r="404" s="1" customFormat="1" customHeight="1" spans="1:6">
      <c r="A404" s="9" t="str">
        <f>"10062101412"</f>
        <v>10062101412</v>
      </c>
      <c r="B404" s="10">
        <v>35.5</v>
      </c>
      <c r="C404" s="9"/>
      <c r="D404" s="9">
        <f t="shared" si="6"/>
        <v>35.5</v>
      </c>
      <c r="E404" s="11"/>
      <c r="F404" s="9"/>
    </row>
    <row r="405" s="1" customFormat="1" customHeight="1" spans="1:6">
      <c r="A405" s="9" t="str">
        <f>"10322101413"</f>
        <v>10322101413</v>
      </c>
      <c r="B405" s="10">
        <v>36.74</v>
      </c>
      <c r="C405" s="9"/>
      <c r="D405" s="9">
        <f t="shared" si="6"/>
        <v>36.74</v>
      </c>
      <c r="E405" s="11"/>
      <c r="F405" s="9"/>
    </row>
    <row r="406" s="1" customFormat="1" customHeight="1" spans="1:6">
      <c r="A406" s="9" t="str">
        <f>"20272101414"</f>
        <v>20272101414</v>
      </c>
      <c r="B406" s="10">
        <v>41.67</v>
      </c>
      <c r="C406" s="9"/>
      <c r="D406" s="9">
        <f t="shared" si="6"/>
        <v>41.67</v>
      </c>
      <c r="E406" s="11"/>
      <c r="F406" s="9"/>
    </row>
    <row r="407" s="1" customFormat="1" customHeight="1" spans="1:6">
      <c r="A407" s="9" t="str">
        <f>"10362101415"</f>
        <v>10362101415</v>
      </c>
      <c r="B407" s="10">
        <v>0</v>
      </c>
      <c r="C407" s="9"/>
      <c r="D407" s="9">
        <f t="shared" si="6"/>
        <v>0</v>
      </c>
      <c r="E407" s="11"/>
      <c r="F407" s="9" t="s">
        <v>7</v>
      </c>
    </row>
    <row r="408" s="1" customFormat="1" customHeight="1" spans="1:6">
      <c r="A408" s="9" t="str">
        <f>"10172101416"</f>
        <v>10172101416</v>
      </c>
      <c r="B408" s="10">
        <v>39.81</v>
      </c>
      <c r="C408" s="9"/>
      <c r="D408" s="9">
        <f t="shared" si="6"/>
        <v>39.81</v>
      </c>
      <c r="E408" s="11"/>
      <c r="F408" s="9"/>
    </row>
    <row r="409" s="1" customFormat="1" customHeight="1" spans="1:6">
      <c r="A409" s="9" t="str">
        <f>"10332101417"</f>
        <v>10332101417</v>
      </c>
      <c r="B409" s="10">
        <v>50.12</v>
      </c>
      <c r="C409" s="9"/>
      <c r="D409" s="9">
        <f t="shared" si="6"/>
        <v>50.12</v>
      </c>
      <c r="E409" s="11"/>
      <c r="F409" s="9"/>
    </row>
    <row r="410" s="1" customFormat="1" customHeight="1" spans="1:6">
      <c r="A410" s="9" t="str">
        <f>"10332101418"</f>
        <v>10332101418</v>
      </c>
      <c r="B410" s="10">
        <v>41.69</v>
      </c>
      <c r="C410" s="9"/>
      <c r="D410" s="9">
        <f t="shared" si="6"/>
        <v>41.69</v>
      </c>
      <c r="E410" s="11"/>
      <c r="F410" s="9"/>
    </row>
    <row r="411" s="1" customFormat="1" customHeight="1" spans="1:6">
      <c r="A411" s="9" t="str">
        <f>"10172101419"</f>
        <v>10172101419</v>
      </c>
      <c r="B411" s="10">
        <v>37.29</v>
      </c>
      <c r="C411" s="9"/>
      <c r="D411" s="9">
        <f t="shared" si="6"/>
        <v>37.29</v>
      </c>
      <c r="E411" s="11"/>
      <c r="F411" s="9"/>
    </row>
    <row r="412" s="1" customFormat="1" customHeight="1" spans="1:6">
      <c r="A412" s="9" t="str">
        <f>"10102101420"</f>
        <v>10102101420</v>
      </c>
      <c r="B412" s="10">
        <v>0</v>
      </c>
      <c r="C412" s="9"/>
      <c r="D412" s="9">
        <f t="shared" si="6"/>
        <v>0</v>
      </c>
      <c r="E412" s="11"/>
      <c r="F412" s="9" t="s">
        <v>7</v>
      </c>
    </row>
    <row r="413" s="1" customFormat="1" customHeight="1" spans="1:6">
      <c r="A413" s="9" t="str">
        <f>"10062101421"</f>
        <v>10062101421</v>
      </c>
      <c r="B413" s="10">
        <v>45</v>
      </c>
      <c r="C413" s="9"/>
      <c r="D413" s="9">
        <f t="shared" si="6"/>
        <v>45</v>
      </c>
      <c r="E413" s="11"/>
      <c r="F413" s="9"/>
    </row>
    <row r="414" s="1" customFormat="1" customHeight="1" spans="1:6">
      <c r="A414" s="9" t="str">
        <f>"10362101422"</f>
        <v>10362101422</v>
      </c>
      <c r="B414" s="10">
        <v>0</v>
      </c>
      <c r="C414" s="9"/>
      <c r="D414" s="9">
        <f t="shared" si="6"/>
        <v>0</v>
      </c>
      <c r="E414" s="11"/>
      <c r="F414" s="9" t="s">
        <v>7</v>
      </c>
    </row>
    <row r="415" s="1" customFormat="1" customHeight="1" spans="1:6">
      <c r="A415" s="9" t="str">
        <f>"10362101423"</f>
        <v>10362101423</v>
      </c>
      <c r="B415" s="10">
        <v>57.12</v>
      </c>
      <c r="C415" s="9">
        <v>10</v>
      </c>
      <c r="D415" s="9">
        <f t="shared" si="6"/>
        <v>67.12</v>
      </c>
      <c r="E415" s="12" t="s">
        <v>8</v>
      </c>
      <c r="F415" s="9"/>
    </row>
    <row r="416" s="1" customFormat="1" customHeight="1" spans="1:6">
      <c r="A416" s="9" t="str">
        <f>"10082101424"</f>
        <v>10082101424</v>
      </c>
      <c r="B416" s="10">
        <v>0</v>
      </c>
      <c r="C416" s="9"/>
      <c r="D416" s="9">
        <f t="shared" si="6"/>
        <v>0</v>
      </c>
      <c r="E416" s="11"/>
      <c r="F416" s="9" t="s">
        <v>7</v>
      </c>
    </row>
    <row r="417" s="1" customFormat="1" customHeight="1" spans="1:6">
      <c r="A417" s="9" t="str">
        <f>"10362101425"</f>
        <v>10362101425</v>
      </c>
      <c r="B417" s="10">
        <v>0</v>
      </c>
      <c r="C417" s="9"/>
      <c r="D417" s="9">
        <f t="shared" si="6"/>
        <v>0</v>
      </c>
      <c r="E417" s="11"/>
      <c r="F417" s="9" t="s">
        <v>7</v>
      </c>
    </row>
    <row r="418" s="1" customFormat="1" customHeight="1" spans="1:6">
      <c r="A418" s="9" t="str">
        <f>"10532101426"</f>
        <v>10532101426</v>
      </c>
      <c r="B418" s="10">
        <v>45.09</v>
      </c>
      <c r="C418" s="9"/>
      <c r="D418" s="9">
        <f t="shared" si="6"/>
        <v>45.09</v>
      </c>
      <c r="E418" s="11"/>
      <c r="F418" s="9"/>
    </row>
    <row r="419" s="1" customFormat="1" customHeight="1" spans="1:6">
      <c r="A419" s="9" t="str">
        <f>"10082101427"</f>
        <v>10082101427</v>
      </c>
      <c r="B419" s="10">
        <v>39.24</v>
      </c>
      <c r="C419" s="9"/>
      <c r="D419" s="9">
        <f t="shared" si="6"/>
        <v>39.24</v>
      </c>
      <c r="E419" s="11"/>
      <c r="F419" s="9"/>
    </row>
    <row r="420" s="1" customFormat="1" customHeight="1" spans="1:6">
      <c r="A420" s="9" t="str">
        <f>"10282101428"</f>
        <v>10282101428</v>
      </c>
      <c r="B420" s="10">
        <v>37.39</v>
      </c>
      <c r="C420" s="9"/>
      <c r="D420" s="9">
        <f t="shared" si="6"/>
        <v>37.39</v>
      </c>
      <c r="E420" s="11"/>
      <c r="F420" s="9"/>
    </row>
    <row r="421" s="1" customFormat="1" customHeight="1" spans="1:6">
      <c r="A421" s="9" t="str">
        <f>"10172101429"</f>
        <v>10172101429</v>
      </c>
      <c r="B421" s="10">
        <v>37.83</v>
      </c>
      <c r="C421" s="9"/>
      <c r="D421" s="9">
        <f t="shared" si="6"/>
        <v>37.83</v>
      </c>
      <c r="E421" s="11"/>
      <c r="F421" s="9"/>
    </row>
    <row r="422" s="1" customFormat="1" customHeight="1" spans="1:6">
      <c r="A422" s="9" t="str">
        <f>"10442101430"</f>
        <v>10442101430</v>
      </c>
      <c r="B422" s="10">
        <v>0</v>
      </c>
      <c r="C422" s="9"/>
      <c r="D422" s="9">
        <f t="shared" si="6"/>
        <v>0</v>
      </c>
      <c r="E422" s="11"/>
      <c r="F422" s="9" t="s">
        <v>7</v>
      </c>
    </row>
    <row r="423" s="1" customFormat="1" customHeight="1" spans="1:6">
      <c r="A423" s="9" t="str">
        <f>"10392101501"</f>
        <v>10392101501</v>
      </c>
      <c r="B423" s="10">
        <v>55.78</v>
      </c>
      <c r="C423" s="9"/>
      <c r="D423" s="9">
        <f t="shared" si="6"/>
        <v>55.78</v>
      </c>
      <c r="E423" s="11"/>
      <c r="F423" s="9"/>
    </row>
    <row r="424" s="1" customFormat="1" customHeight="1" spans="1:6">
      <c r="A424" s="9" t="str">
        <f>"10362101502"</f>
        <v>10362101502</v>
      </c>
      <c r="B424" s="10">
        <v>30.82</v>
      </c>
      <c r="C424" s="9"/>
      <c r="D424" s="9">
        <f t="shared" si="6"/>
        <v>30.82</v>
      </c>
      <c r="E424" s="11"/>
      <c r="F424" s="9"/>
    </row>
    <row r="425" s="1" customFormat="1" customHeight="1" spans="1:6">
      <c r="A425" s="9" t="str">
        <f>"10212101503"</f>
        <v>10212101503</v>
      </c>
      <c r="B425" s="10">
        <v>44.93</v>
      </c>
      <c r="C425" s="9"/>
      <c r="D425" s="9">
        <f t="shared" si="6"/>
        <v>44.93</v>
      </c>
      <c r="E425" s="11"/>
      <c r="F425" s="9"/>
    </row>
    <row r="426" s="1" customFormat="1" customHeight="1" spans="1:6">
      <c r="A426" s="9" t="str">
        <f>"10522101504"</f>
        <v>10522101504</v>
      </c>
      <c r="B426" s="10">
        <v>0</v>
      </c>
      <c r="C426" s="9"/>
      <c r="D426" s="9">
        <f t="shared" si="6"/>
        <v>0</v>
      </c>
      <c r="E426" s="11"/>
      <c r="F426" s="9" t="s">
        <v>7</v>
      </c>
    </row>
    <row r="427" s="1" customFormat="1" customHeight="1" spans="1:6">
      <c r="A427" s="9" t="str">
        <f>"10502101505"</f>
        <v>10502101505</v>
      </c>
      <c r="B427" s="10">
        <v>36.3</v>
      </c>
      <c r="C427" s="9"/>
      <c r="D427" s="9">
        <f t="shared" si="6"/>
        <v>36.3</v>
      </c>
      <c r="E427" s="11"/>
      <c r="F427" s="9"/>
    </row>
    <row r="428" s="1" customFormat="1" customHeight="1" spans="1:6">
      <c r="A428" s="9" t="str">
        <f>"10242101506"</f>
        <v>10242101506</v>
      </c>
      <c r="B428" s="10">
        <v>0</v>
      </c>
      <c r="C428" s="9"/>
      <c r="D428" s="9">
        <f t="shared" si="6"/>
        <v>0</v>
      </c>
      <c r="E428" s="11"/>
      <c r="F428" s="9" t="s">
        <v>7</v>
      </c>
    </row>
    <row r="429" s="1" customFormat="1" customHeight="1" spans="1:6">
      <c r="A429" s="9" t="str">
        <f>"10362101507"</f>
        <v>10362101507</v>
      </c>
      <c r="B429" s="10">
        <v>0</v>
      </c>
      <c r="C429" s="9"/>
      <c r="D429" s="9">
        <f t="shared" si="6"/>
        <v>0</v>
      </c>
      <c r="E429" s="11"/>
      <c r="F429" s="9" t="s">
        <v>7</v>
      </c>
    </row>
    <row r="430" s="1" customFormat="1" customHeight="1" spans="1:6">
      <c r="A430" s="9" t="str">
        <f>"10332101508"</f>
        <v>10332101508</v>
      </c>
      <c r="B430" s="10">
        <v>39.05</v>
      </c>
      <c r="C430" s="9"/>
      <c r="D430" s="9">
        <f t="shared" si="6"/>
        <v>39.05</v>
      </c>
      <c r="E430" s="11"/>
      <c r="F430" s="9"/>
    </row>
    <row r="431" s="1" customFormat="1" customHeight="1" spans="1:6">
      <c r="A431" s="9" t="str">
        <f>"10432101509"</f>
        <v>10432101509</v>
      </c>
      <c r="B431" s="10">
        <v>46.07</v>
      </c>
      <c r="C431" s="9"/>
      <c r="D431" s="9">
        <f t="shared" si="6"/>
        <v>46.07</v>
      </c>
      <c r="E431" s="11"/>
      <c r="F431" s="9"/>
    </row>
    <row r="432" s="1" customFormat="1" customHeight="1" spans="1:6">
      <c r="A432" s="9" t="str">
        <f>"10302101510"</f>
        <v>10302101510</v>
      </c>
      <c r="B432" s="10">
        <v>39.26</v>
      </c>
      <c r="C432" s="9"/>
      <c r="D432" s="9">
        <f t="shared" si="6"/>
        <v>39.26</v>
      </c>
      <c r="E432" s="11"/>
      <c r="F432" s="9"/>
    </row>
    <row r="433" s="1" customFormat="1" customHeight="1" spans="1:6">
      <c r="A433" s="9" t="str">
        <f>"10242101511"</f>
        <v>10242101511</v>
      </c>
      <c r="B433" s="10">
        <v>40.6</v>
      </c>
      <c r="C433" s="9"/>
      <c r="D433" s="9">
        <f t="shared" si="6"/>
        <v>40.6</v>
      </c>
      <c r="E433" s="11"/>
      <c r="F433" s="9"/>
    </row>
    <row r="434" s="1" customFormat="1" customHeight="1" spans="1:6">
      <c r="A434" s="9" t="str">
        <f>"10132101512"</f>
        <v>10132101512</v>
      </c>
      <c r="B434" s="10">
        <v>40.67</v>
      </c>
      <c r="C434" s="9"/>
      <c r="D434" s="9">
        <f t="shared" si="6"/>
        <v>40.67</v>
      </c>
      <c r="E434" s="11"/>
      <c r="F434" s="9"/>
    </row>
    <row r="435" s="1" customFormat="1" customHeight="1" spans="1:6">
      <c r="A435" s="9" t="str">
        <f>"10362101513"</f>
        <v>10362101513</v>
      </c>
      <c r="B435" s="10">
        <v>35.48</v>
      </c>
      <c r="C435" s="9"/>
      <c r="D435" s="9">
        <f t="shared" si="6"/>
        <v>35.48</v>
      </c>
      <c r="E435" s="11"/>
      <c r="F435" s="9"/>
    </row>
    <row r="436" s="1" customFormat="1" customHeight="1" spans="1:6">
      <c r="A436" s="9" t="str">
        <f>"10362101514"</f>
        <v>10362101514</v>
      </c>
      <c r="B436" s="10">
        <v>0</v>
      </c>
      <c r="C436" s="9"/>
      <c r="D436" s="9">
        <f t="shared" si="6"/>
        <v>0</v>
      </c>
      <c r="E436" s="11"/>
      <c r="F436" s="9" t="s">
        <v>7</v>
      </c>
    </row>
    <row r="437" s="1" customFormat="1" customHeight="1" spans="1:6">
      <c r="A437" s="9" t="str">
        <f>"10212101515"</f>
        <v>10212101515</v>
      </c>
      <c r="B437" s="10">
        <v>0</v>
      </c>
      <c r="C437" s="9"/>
      <c r="D437" s="9">
        <f t="shared" si="6"/>
        <v>0</v>
      </c>
      <c r="E437" s="11"/>
      <c r="F437" s="9" t="s">
        <v>7</v>
      </c>
    </row>
    <row r="438" s="1" customFormat="1" customHeight="1" spans="1:6">
      <c r="A438" s="9" t="str">
        <f>"10292101516"</f>
        <v>10292101516</v>
      </c>
      <c r="B438" s="10">
        <v>0</v>
      </c>
      <c r="C438" s="9"/>
      <c r="D438" s="9">
        <f t="shared" si="6"/>
        <v>0</v>
      </c>
      <c r="E438" s="11"/>
      <c r="F438" s="9" t="s">
        <v>7</v>
      </c>
    </row>
    <row r="439" s="1" customFormat="1" customHeight="1" spans="1:6">
      <c r="A439" s="9" t="str">
        <f>"10522101517"</f>
        <v>10522101517</v>
      </c>
      <c r="B439" s="10">
        <v>49.73</v>
      </c>
      <c r="C439" s="9"/>
      <c r="D439" s="9">
        <f t="shared" si="6"/>
        <v>49.73</v>
      </c>
      <c r="E439" s="11"/>
      <c r="F439" s="9"/>
    </row>
    <row r="440" s="1" customFormat="1" customHeight="1" spans="1:6">
      <c r="A440" s="9" t="str">
        <f>"10362101518"</f>
        <v>10362101518</v>
      </c>
      <c r="B440" s="10">
        <v>0</v>
      </c>
      <c r="C440" s="9"/>
      <c r="D440" s="9">
        <f t="shared" si="6"/>
        <v>0</v>
      </c>
      <c r="E440" s="11"/>
      <c r="F440" s="9" t="s">
        <v>7</v>
      </c>
    </row>
    <row r="441" s="1" customFormat="1" customHeight="1" spans="1:6">
      <c r="A441" s="9" t="str">
        <f>"10512101519"</f>
        <v>10512101519</v>
      </c>
      <c r="B441" s="10">
        <v>41.54</v>
      </c>
      <c r="C441" s="9"/>
      <c r="D441" s="9">
        <f t="shared" si="6"/>
        <v>41.54</v>
      </c>
      <c r="E441" s="11"/>
      <c r="F441" s="9"/>
    </row>
    <row r="442" s="1" customFormat="1" customHeight="1" spans="1:6">
      <c r="A442" s="9" t="str">
        <f>"10162101520"</f>
        <v>10162101520</v>
      </c>
      <c r="B442" s="10">
        <v>0</v>
      </c>
      <c r="C442" s="9"/>
      <c r="D442" s="9">
        <f t="shared" si="6"/>
        <v>0</v>
      </c>
      <c r="E442" s="11"/>
      <c r="F442" s="9" t="s">
        <v>7</v>
      </c>
    </row>
    <row r="443" s="1" customFormat="1" customHeight="1" spans="1:6">
      <c r="A443" s="9" t="str">
        <f>"10362101521"</f>
        <v>10362101521</v>
      </c>
      <c r="B443" s="10">
        <v>44.71</v>
      </c>
      <c r="C443" s="9"/>
      <c r="D443" s="9">
        <f t="shared" si="6"/>
        <v>44.71</v>
      </c>
      <c r="E443" s="11"/>
      <c r="F443" s="9"/>
    </row>
    <row r="444" s="1" customFormat="1" customHeight="1" spans="1:6">
      <c r="A444" s="9" t="str">
        <f>"10102101522"</f>
        <v>10102101522</v>
      </c>
      <c r="B444" s="10">
        <v>43.47</v>
      </c>
      <c r="C444" s="9"/>
      <c r="D444" s="9">
        <f t="shared" si="6"/>
        <v>43.47</v>
      </c>
      <c r="E444" s="11"/>
      <c r="F444" s="9"/>
    </row>
    <row r="445" s="1" customFormat="1" customHeight="1" spans="1:6">
      <c r="A445" s="9" t="str">
        <f>"10242101523"</f>
        <v>10242101523</v>
      </c>
      <c r="B445" s="10">
        <v>48.25</v>
      </c>
      <c r="C445" s="9"/>
      <c r="D445" s="9">
        <f t="shared" si="6"/>
        <v>48.25</v>
      </c>
      <c r="E445" s="11"/>
      <c r="F445" s="9"/>
    </row>
    <row r="446" s="1" customFormat="1" customHeight="1" spans="1:6">
      <c r="A446" s="9" t="str">
        <f>"10392101524"</f>
        <v>10392101524</v>
      </c>
      <c r="B446" s="10">
        <v>42.45</v>
      </c>
      <c r="C446" s="9"/>
      <c r="D446" s="9">
        <f t="shared" si="6"/>
        <v>42.45</v>
      </c>
      <c r="E446" s="11"/>
      <c r="F446" s="9"/>
    </row>
    <row r="447" s="1" customFormat="1" customHeight="1" spans="1:6">
      <c r="A447" s="9" t="str">
        <f>"10362101525"</f>
        <v>10362101525</v>
      </c>
      <c r="B447" s="10">
        <v>33.53</v>
      </c>
      <c r="C447" s="9"/>
      <c r="D447" s="9">
        <f t="shared" si="6"/>
        <v>33.53</v>
      </c>
      <c r="E447" s="11"/>
      <c r="F447" s="9"/>
    </row>
    <row r="448" s="1" customFormat="1" customHeight="1" spans="1:6">
      <c r="A448" s="9" t="str">
        <f>"10132101526"</f>
        <v>10132101526</v>
      </c>
      <c r="B448" s="10">
        <v>49.91</v>
      </c>
      <c r="C448" s="9"/>
      <c r="D448" s="9">
        <f t="shared" si="6"/>
        <v>49.91</v>
      </c>
      <c r="E448" s="11"/>
      <c r="F448" s="9"/>
    </row>
    <row r="449" s="1" customFormat="1" customHeight="1" spans="1:6">
      <c r="A449" s="9" t="str">
        <f>"10132101527"</f>
        <v>10132101527</v>
      </c>
      <c r="B449" s="10">
        <v>0</v>
      </c>
      <c r="C449" s="9"/>
      <c r="D449" s="9">
        <f t="shared" si="6"/>
        <v>0</v>
      </c>
      <c r="E449" s="11"/>
      <c r="F449" s="9" t="s">
        <v>7</v>
      </c>
    </row>
    <row r="450" s="1" customFormat="1" customHeight="1" spans="1:6">
      <c r="A450" s="9" t="str">
        <f>"10112101528"</f>
        <v>10112101528</v>
      </c>
      <c r="B450" s="10">
        <v>42.2</v>
      </c>
      <c r="C450" s="9"/>
      <c r="D450" s="9">
        <f t="shared" si="6"/>
        <v>42.2</v>
      </c>
      <c r="E450" s="11"/>
      <c r="F450" s="9"/>
    </row>
    <row r="451" s="1" customFormat="1" customHeight="1" spans="1:6">
      <c r="A451" s="9" t="str">
        <f>"10442101529"</f>
        <v>10442101529</v>
      </c>
      <c r="B451" s="10">
        <v>0</v>
      </c>
      <c r="C451" s="9"/>
      <c r="D451" s="9">
        <f t="shared" ref="D451:D514" si="7">SUM(B451:C451)</f>
        <v>0</v>
      </c>
      <c r="E451" s="11"/>
      <c r="F451" s="9" t="s">
        <v>7</v>
      </c>
    </row>
    <row r="452" s="1" customFormat="1" customHeight="1" spans="1:6">
      <c r="A452" s="9" t="str">
        <f>"10362101530"</f>
        <v>10362101530</v>
      </c>
      <c r="B452" s="10">
        <v>33.19</v>
      </c>
      <c r="C452" s="9"/>
      <c r="D452" s="9">
        <f t="shared" si="7"/>
        <v>33.19</v>
      </c>
      <c r="E452" s="11"/>
      <c r="F452" s="9"/>
    </row>
    <row r="453" s="1" customFormat="1" customHeight="1" spans="1:6">
      <c r="A453" s="9" t="str">
        <f>"10362101601"</f>
        <v>10362101601</v>
      </c>
      <c r="B453" s="10">
        <v>0</v>
      </c>
      <c r="C453" s="9"/>
      <c r="D453" s="9">
        <f t="shared" si="7"/>
        <v>0</v>
      </c>
      <c r="E453" s="11"/>
      <c r="F453" s="9" t="s">
        <v>7</v>
      </c>
    </row>
    <row r="454" s="1" customFormat="1" customHeight="1" spans="1:6">
      <c r="A454" s="9" t="str">
        <f>"10362101602"</f>
        <v>10362101602</v>
      </c>
      <c r="B454" s="10">
        <v>30.8</v>
      </c>
      <c r="C454" s="9"/>
      <c r="D454" s="9">
        <f t="shared" si="7"/>
        <v>30.8</v>
      </c>
      <c r="E454" s="11"/>
      <c r="F454" s="9"/>
    </row>
    <row r="455" s="1" customFormat="1" customHeight="1" spans="1:6">
      <c r="A455" s="9" t="str">
        <f>"10532101603"</f>
        <v>10532101603</v>
      </c>
      <c r="B455" s="10">
        <v>0</v>
      </c>
      <c r="C455" s="9"/>
      <c r="D455" s="9">
        <f t="shared" si="7"/>
        <v>0</v>
      </c>
      <c r="E455" s="11"/>
      <c r="F455" s="9" t="s">
        <v>7</v>
      </c>
    </row>
    <row r="456" s="1" customFormat="1" customHeight="1" spans="1:6">
      <c r="A456" s="9" t="str">
        <f>"10512101604"</f>
        <v>10512101604</v>
      </c>
      <c r="B456" s="10">
        <v>36.93</v>
      </c>
      <c r="C456" s="9"/>
      <c r="D456" s="9">
        <f t="shared" si="7"/>
        <v>36.93</v>
      </c>
      <c r="E456" s="11"/>
      <c r="F456" s="9"/>
    </row>
    <row r="457" s="1" customFormat="1" customHeight="1" spans="1:6">
      <c r="A457" s="9" t="str">
        <f>"10302101605"</f>
        <v>10302101605</v>
      </c>
      <c r="B457" s="10">
        <v>0</v>
      </c>
      <c r="C457" s="9"/>
      <c r="D457" s="9">
        <f t="shared" si="7"/>
        <v>0</v>
      </c>
      <c r="E457" s="11"/>
      <c r="F457" s="9" t="s">
        <v>7</v>
      </c>
    </row>
    <row r="458" s="1" customFormat="1" customHeight="1" spans="1:6">
      <c r="A458" s="9" t="str">
        <f>"10212101606"</f>
        <v>10212101606</v>
      </c>
      <c r="B458" s="10">
        <v>0</v>
      </c>
      <c r="C458" s="9"/>
      <c r="D458" s="9">
        <f t="shared" si="7"/>
        <v>0</v>
      </c>
      <c r="E458" s="11"/>
      <c r="F458" s="9" t="s">
        <v>7</v>
      </c>
    </row>
    <row r="459" s="1" customFormat="1" customHeight="1" spans="1:6">
      <c r="A459" s="9" t="str">
        <f>"10152101607"</f>
        <v>10152101607</v>
      </c>
      <c r="B459" s="10">
        <v>0</v>
      </c>
      <c r="C459" s="9"/>
      <c r="D459" s="9">
        <f t="shared" si="7"/>
        <v>0</v>
      </c>
      <c r="E459" s="11"/>
      <c r="F459" s="9" t="s">
        <v>7</v>
      </c>
    </row>
    <row r="460" s="1" customFormat="1" customHeight="1" spans="1:6">
      <c r="A460" s="9" t="str">
        <f>"10362101608"</f>
        <v>10362101608</v>
      </c>
      <c r="B460" s="10">
        <v>40.65</v>
      </c>
      <c r="C460" s="9"/>
      <c r="D460" s="9">
        <f t="shared" si="7"/>
        <v>40.65</v>
      </c>
      <c r="E460" s="11"/>
      <c r="F460" s="9"/>
    </row>
    <row r="461" s="1" customFormat="1" customHeight="1" spans="1:6">
      <c r="A461" s="9" t="str">
        <f>"10212101609"</f>
        <v>10212101609</v>
      </c>
      <c r="B461" s="10">
        <v>42.14</v>
      </c>
      <c r="C461" s="9"/>
      <c r="D461" s="9">
        <f t="shared" si="7"/>
        <v>42.14</v>
      </c>
      <c r="E461" s="11"/>
      <c r="F461" s="9"/>
    </row>
    <row r="462" s="1" customFormat="1" customHeight="1" spans="1:6">
      <c r="A462" s="9" t="str">
        <f>"10112101610"</f>
        <v>10112101610</v>
      </c>
      <c r="B462" s="10">
        <v>0</v>
      </c>
      <c r="C462" s="9"/>
      <c r="D462" s="9">
        <f t="shared" si="7"/>
        <v>0</v>
      </c>
      <c r="E462" s="11"/>
      <c r="F462" s="9" t="s">
        <v>7</v>
      </c>
    </row>
    <row r="463" s="1" customFormat="1" customHeight="1" spans="1:6">
      <c r="A463" s="9" t="str">
        <f>"10532101611"</f>
        <v>10532101611</v>
      </c>
      <c r="B463" s="10">
        <v>36.54</v>
      </c>
      <c r="C463" s="9"/>
      <c r="D463" s="9">
        <f t="shared" si="7"/>
        <v>36.54</v>
      </c>
      <c r="E463" s="11"/>
      <c r="F463" s="9"/>
    </row>
    <row r="464" s="1" customFormat="1" customHeight="1" spans="1:6">
      <c r="A464" s="9" t="str">
        <f>"10172101612"</f>
        <v>10172101612</v>
      </c>
      <c r="B464" s="10">
        <v>44.39</v>
      </c>
      <c r="C464" s="9"/>
      <c r="D464" s="9">
        <f t="shared" si="7"/>
        <v>44.39</v>
      </c>
      <c r="E464" s="11"/>
      <c r="F464" s="9"/>
    </row>
    <row r="465" s="1" customFormat="1" customHeight="1" spans="1:6">
      <c r="A465" s="9" t="str">
        <f>"10062101613"</f>
        <v>10062101613</v>
      </c>
      <c r="B465" s="10">
        <v>31.62</v>
      </c>
      <c r="C465" s="9"/>
      <c r="D465" s="9">
        <f t="shared" si="7"/>
        <v>31.62</v>
      </c>
      <c r="E465" s="11"/>
      <c r="F465" s="9"/>
    </row>
    <row r="466" s="1" customFormat="1" customHeight="1" spans="1:6">
      <c r="A466" s="9" t="str">
        <f>"10372101614"</f>
        <v>10372101614</v>
      </c>
      <c r="B466" s="10">
        <v>42.7</v>
      </c>
      <c r="C466" s="9"/>
      <c r="D466" s="9">
        <f t="shared" si="7"/>
        <v>42.7</v>
      </c>
      <c r="E466" s="11"/>
      <c r="F466" s="9"/>
    </row>
    <row r="467" s="1" customFormat="1" customHeight="1" spans="1:6">
      <c r="A467" s="9" t="str">
        <f>"10072101615"</f>
        <v>10072101615</v>
      </c>
      <c r="B467" s="10">
        <v>0</v>
      </c>
      <c r="C467" s="9"/>
      <c r="D467" s="9">
        <f t="shared" si="7"/>
        <v>0</v>
      </c>
      <c r="E467" s="11"/>
      <c r="F467" s="9" t="s">
        <v>7</v>
      </c>
    </row>
    <row r="468" s="1" customFormat="1" customHeight="1" spans="1:6">
      <c r="A468" s="9" t="str">
        <f>"10102101616"</f>
        <v>10102101616</v>
      </c>
      <c r="B468" s="10">
        <v>38.18</v>
      </c>
      <c r="C468" s="9"/>
      <c r="D468" s="9">
        <f t="shared" si="7"/>
        <v>38.18</v>
      </c>
      <c r="E468" s="11"/>
      <c r="F468" s="9"/>
    </row>
    <row r="469" s="1" customFormat="1" customHeight="1" spans="1:6">
      <c r="A469" s="9" t="str">
        <f>"10242101617"</f>
        <v>10242101617</v>
      </c>
      <c r="B469" s="10">
        <v>0</v>
      </c>
      <c r="C469" s="9"/>
      <c r="D469" s="9">
        <f t="shared" si="7"/>
        <v>0</v>
      </c>
      <c r="E469" s="11"/>
      <c r="F469" s="9" t="s">
        <v>7</v>
      </c>
    </row>
    <row r="470" s="1" customFormat="1" customHeight="1" spans="1:6">
      <c r="A470" s="9" t="str">
        <f>"10212101618"</f>
        <v>10212101618</v>
      </c>
      <c r="B470" s="10">
        <v>42.8</v>
      </c>
      <c r="C470" s="9"/>
      <c r="D470" s="9">
        <f t="shared" si="7"/>
        <v>42.8</v>
      </c>
      <c r="E470" s="11"/>
      <c r="F470" s="9"/>
    </row>
    <row r="471" s="1" customFormat="1" customHeight="1" spans="1:6">
      <c r="A471" s="9" t="str">
        <f>"10362101619"</f>
        <v>10362101619</v>
      </c>
      <c r="B471" s="10">
        <v>0</v>
      </c>
      <c r="C471" s="9"/>
      <c r="D471" s="9">
        <f t="shared" si="7"/>
        <v>0</v>
      </c>
      <c r="E471" s="11"/>
      <c r="F471" s="9" t="s">
        <v>7</v>
      </c>
    </row>
    <row r="472" s="1" customFormat="1" customHeight="1" spans="1:6">
      <c r="A472" s="9" t="str">
        <f>"10362101620"</f>
        <v>10362101620</v>
      </c>
      <c r="B472" s="10">
        <v>33.17</v>
      </c>
      <c r="C472" s="9"/>
      <c r="D472" s="9">
        <f t="shared" si="7"/>
        <v>33.17</v>
      </c>
      <c r="E472" s="11"/>
      <c r="F472" s="9"/>
    </row>
    <row r="473" s="1" customFormat="1" customHeight="1" spans="1:6">
      <c r="A473" s="9" t="str">
        <f>"10362101621"</f>
        <v>10362101621</v>
      </c>
      <c r="B473" s="10">
        <v>36.98</v>
      </c>
      <c r="C473" s="9"/>
      <c r="D473" s="9">
        <f t="shared" si="7"/>
        <v>36.98</v>
      </c>
      <c r="E473" s="11"/>
      <c r="F473" s="9"/>
    </row>
    <row r="474" s="1" customFormat="1" customHeight="1" spans="1:6">
      <c r="A474" s="9" t="str">
        <f>"10082101622"</f>
        <v>10082101622</v>
      </c>
      <c r="B474" s="10">
        <v>40.78</v>
      </c>
      <c r="C474" s="9"/>
      <c r="D474" s="9">
        <f t="shared" si="7"/>
        <v>40.78</v>
      </c>
      <c r="E474" s="11"/>
      <c r="F474" s="9"/>
    </row>
    <row r="475" s="1" customFormat="1" customHeight="1" spans="1:6">
      <c r="A475" s="9" t="str">
        <f>"10152101623"</f>
        <v>10152101623</v>
      </c>
      <c r="B475" s="10">
        <v>0</v>
      </c>
      <c r="C475" s="9"/>
      <c r="D475" s="9">
        <f t="shared" si="7"/>
        <v>0</v>
      </c>
      <c r="E475" s="11"/>
      <c r="F475" s="9" t="s">
        <v>7</v>
      </c>
    </row>
    <row r="476" s="1" customFormat="1" customHeight="1" spans="1:6">
      <c r="A476" s="9" t="str">
        <f>"10372101624"</f>
        <v>10372101624</v>
      </c>
      <c r="B476" s="10">
        <v>0</v>
      </c>
      <c r="C476" s="9"/>
      <c r="D476" s="9">
        <f t="shared" si="7"/>
        <v>0</v>
      </c>
      <c r="E476" s="11"/>
      <c r="F476" s="9" t="s">
        <v>7</v>
      </c>
    </row>
    <row r="477" s="1" customFormat="1" customHeight="1" spans="1:6">
      <c r="A477" s="9" t="str">
        <f>"10062101625"</f>
        <v>10062101625</v>
      </c>
      <c r="B477" s="10">
        <v>37.89</v>
      </c>
      <c r="C477" s="9"/>
      <c r="D477" s="9">
        <f t="shared" si="7"/>
        <v>37.89</v>
      </c>
      <c r="E477" s="11"/>
      <c r="F477" s="9"/>
    </row>
    <row r="478" s="1" customFormat="1" customHeight="1" spans="1:6">
      <c r="A478" s="9" t="str">
        <f>"10532101626"</f>
        <v>10532101626</v>
      </c>
      <c r="B478" s="10">
        <v>34.43</v>
      </c>
      <c r="C478" s="9"/>
      <c r="D478" s="9">
        <f t="shared" si="7"/>
        <v>34.43</v>
      </c>
      <c r="E478" s="11"/>
      <c r="F478" s="9"/>
    </row>
    <row r="479" s="1" customFormat="1" customHeight="1" spans="1:6">
      <c r="A479" s="9" t="str">
        <f>"10102101627"</f>
        <v>10102101627</v>
      </c>
      <c r="B479" s="10">
        <v>50.96</v>
      </c>
      <c r="C479" s="9"/>
      <c r="D479" s="9">
        <f t="shared" si="7"/>
        <v>50.96</v>
      </c>
      <c r="E479" s="11"/>
      <c r="F479" s="9"/>
    </row>
    <row r="480" s="1" customFormat="1" customHeight="1" spans="1:6">
      <c r="A480" s="9" t="str">
        <f>"10082101628"</f>
        <v>10082101628</v>
      </c>
      <c r="B480" s="10">
        <v>0</v>
      </c>
      <c r="C480" s="9"/>
      <c r="D480" s="9">
        <f t="shared" si="7"/>
        <v>0</v>
      </c>
      <c r="E480" s="11"/>
      <c r="F480" s="9" t="s">
        <v>7</v>
      </c>
    </row>
    <row r="481" s="1" customFormat="1" customHeight="1" spans="1:6">
      <c r="A481" s="9" t="str">
        <f>"10062101629"</f>
        <v>10062101629</v>
      </c>
      <c r="B481" s="10">
        <v>35.15</v>
      </c>
      <c r="C481" s="9"/>
      <c r="D481" s="9">
        <f t="shared" si="7"/>
        <v>35.15</v>
      </c>
      <c r="E481" s="11"/>
      <c r="F481" s="9"/>
    </row>
    <row r="482" s="1" customFormat="1" customHeight="1" spans="1:6">
      <c r="A482" s="9" t="str">
        <f>"10502101630"</f>
        <v>10502101630</v>
      </c>
      <c r="B482" s="10">
        <v>0</v>
      </c>
      <c r="C482" s="9"/>
      <c r="D482" s="9">
        <f t="shared" si="7"/>
        <v>0</v>
      </c>
      <c r="E482" s="11"/>
      <c r="F482" s="9" t="s">
        <v>7</v>
      </c>
    </row>
    <row r="483" s="1" customFormat="1" customHeight="1" spans="1:6">
      <c r="A483" s="9" t="str">
        <f>"10212101701"</f>
        <v>10212101701</v>
      </c>
      <c r="B483" s="10">
        <v>40.96</v>
      </c>
      <c r="C483" s="9"/>
      <c r="D483" s="9">
        <f t="shared" si="7"/>
        <v>40.96</v>
      </c>
      <c r="E483" s="11"/>
      <c r="F483" s="9"/>
    </row>
    <row r="484" s="1" customFormat="1" customHeight="1" spans="1:6">
      <c r="A484" s="9" t="str">
        <f>"10362101702"</f>
        <v>10362101702</v>
      </c>
      <c r="B484" s="10">
        <v>0</v>
      </c>
      <c r="C484" s="9"/>
      <c r="D484" s="9">
        <f t="shared" si="7"/>
        <v>0</v>
      </c>
      <c r="E484" s="11"/>
      <c r="F484" s="9" t="s">
        <v>7</v>
      </c>
    </row>
    <row r="485" s="1" customFormat="1" customHeight="1" spans="1:6">
      <c r="A485" s="9" t="str">
        <f>"10082101703"</f>
        <v>10082101703</v>
      </c>
      <c r="B485" s="10">
        <v>46.99</v>
      </c>
      <c r="C485" s="9"/>
      <c r="D485" s="9">
        <f t="shared" si="7"/>
        <v>46.99</v>
      </c>
      <c r="E485" s="11"/>
      <c r="F485" s="9"/>
    </row>
    <row r="486" s="1" customFormat="1" customHeight="1" spans="1:6">
      <c r="A486" s="9" t="str">
        <f>"10232101704"</f>
        <v>10232101704</v>
      </c>
      <c r="B486" s="10">
        <v>0</v>
      </c>
      <c r="C486" s="9"/>
      <c r="D486" s="9">
        <f t="shared" si="7"/>
        <v>0</v>
      </c>
      <c r="E486" s="11"/>
      <c r="F486" s="9" t="s">
        <v>7</v>
      </c>
    </row>
    <row r="487" s="1" customFormat="1" customHeight="1" spans="1:6">
      <c r="A487" s="9" t="str">
        <f>"10122101705"</f>
        <v>10122101705</v>
      </c>
      <c r="B487" s="10">
        <v>37.98</v>
      </c>
      <c r="C487" s="9"/>
      <c r="D487" s="9">
        <f t="shared" si="7"/>
        <v>37.98</v>
      </c>
      <c r="E487" s="11"/>
      <c r="F487" s="9"/>
    </row>
    <row r="488" s="1" customFormat="1" customHeight="1" spans="1:6">
      <c r="A488" s="9" t="str">
        <f>"10362101706"</f>
        <v>10362101706</v>
      </c>
      <c r="B488" s="10">
        <v>0</v>
      </c>
      <c r="C488" s="9"/>
      <c r="D488" s="9">
        <f t="shared" si="7"/>
        <v>0</v>
      </c>
      <c r="E488" s="11"/>
      <c r="F488" s="9" t="s">
        <v>7</v>
      </c>
    </row>
    <row r="489" s="1" customFormat="1" customHeight="1" spans="1:6">
      <c r="A489" s="9" t="str">
        <f>"10512101707"</f>
        <v>10512101707</v>
      </c>
      <c r="B489" s="10">
        <v>47.05</v>
      </c>
      <c r="C489" s="9"/>
      <c r="D489" s="9">
        <f t="shared" si="7"/>
        <v>47.05</v>
      </c>
      <c r="E489" s="11"/>
      <c r="F489" s="9"/>
    </row>
    <row r="490" s="1" customFormat="1" customHeight="1" spans="1:6">
      <c r="A490" s="9" t="str">
        <f>"10482101708"</f>
        <v>10482101708</v>
      </c>
      <c r="B490" s="10">
        <v>40.11</v>
      </c>
      <c r="C490" s="9"/>
      <c r="D490" s="9">
        <f t="shared" si="7"/>
        <v>40.11</v>
      </c>
      <c r="E490" s="11"/>
      <c r="F490" s="9"/>
    </row>
    <row r="491" s="1" customFormat="1" customHeight="1" spans="1:6">
      <c r="A491" s="9" t="str">
        <f>"10292101709"</f>
        <v>10292101709</v>
      </c>
      <c r="B491" s="10">
        <v>0</v>
      </c>
      <c r="C491" s="9"/>
      <c r="D491" s="9">
        <f t="shared" si="7"/>
        <v>0</v>
      </c>
      <c r="E491" s="11"/>
      <c r="F491" s="9" t="s">
        <v>7</v>
      </c>
    </row>
    <row r="492" s="1" customFormat="1" customHeight="1" spans="1:6">
      <c r="A492" s="9" t="str">
        <f>"10342101710"</f>
        <v>10342101710</v>
      </c>
      <c r="B492" s="10">
        <v>38.98</v>
      </c>
      <c r="C492" s="9"/>
      <c r="D492" s="9">
        <f t="shared" si="7"/>
        <v>38.98</v>
      </c>
      <c r="E492" s="11"/>
      <c r="F492" s="9"/>
    </row>
    <row r="493" s="1" customFormat="1" customHeight="1" spans="1:6">
      <c r="A493" s="9" t="str">
        <f>"10102101711"</f>
        <v>10102101711</v>
      </c>
      <c r="B493" s="10">
        <v>36.54</v>
      </c>
      <c r="C493" s="9"/>
      <c r="D493" s="9">
        <f t="shared" si="7"/>
        <v>36.54</v>
      </c>
      <c r="E493" s="11"/>
      <c r="F493" s="9"/>
    </row>
    <row r="494" s="1" customFormat="1" customHeight="1" spans="1:6">
      <c r="A494" s="9" t="str">
        <f>"10362101712"</f>
        <v>10362101712</v>
      </c>
      <c r="B494" s="10">
        <v>43.47</v>
      </c>
      <c r="C494" s="9">
        <v>10</v>
      </c>
      <c r="D494" s="9">
        <f t="shared" si="7"/>
        <v>53.47</v>
      </c>
      <c r="E494" s="12" t="s">
        <v>8</v>
      </c>
      <c r="F494" s="9"/>
    </row>
    <row r="495" s="1" customFormat="1" customHeight="1" spans="1:6">
      <c r="A495" s="9" t="str">
        <f>"10532101713"</f>
        <v>10532101713</v>
      </c>
      <c r="B495" s="10">
        <v>0</v>
      </c>
      <c r="C495" s="9"/>
      <c r="D495" s="9">
        <f t="shared" si="7"/>
        <v>0</v>
      </c>
      <c r="E495" s="11"/>
      <c r="F495" s="9" t="s">
        <v>7</v>
      </c>
    </row>
    <row r="496" s="1" customFormat="1" customHeight="1" spans="1:6">
      <c r="A496" s="9" t="str">
        <f>"10292101714"</f>
        <v>10292101714</v>
      </c>
      <c r="B496" s="10">
        <v>50</v>
      </c>
      <c r="C496" s="9"/>
      <c r="D496" s="9">
        <f t="shared" si="7"/>
        <v>50</v>
      </c>
      <c r="E496" s="11"/>
      <c r="F496" s="9"/>
    </row>
    <row r="497" s="1" customFormat="1" customHeight="1" spans="1:6">
      <c r="A497" s="9" t="str">
        <f>"10532101715"</f>
        <v>10532101715</v>
      </c>
      <c r="B497" s="10">
        <v>0</v>
      </c>
      <c r="C497" s="9"/>
      <c r="D497" s="9">
        <f t="shared" si="7"/>
        <v>0</v>
      </c>
      <c r="E497" s="11"/>
      <c r="F497" s="9" t="s">
        <v>7</v>
      </c>
    </row>
    <row r="498" s="1" customFormat="1" customHeight="1" spans="1:6">
      <c r="A498" s="9" t="str">
        <f>"10402101716"</f>
        <v>10402101716</v>
      </c>
      <c r="B498" s="10">
        <v>42.68</v>
      </c>
      <c r="C498" s="9"/>
      <c r="D498" s="9">
        <f t="shared" si="7"/>
        <v>42.68</v>
      </c>
      <c r="E498" s="11"/>
      <c r="F498" s="9"/>
    </row>
    <row r="499" s="1" customFormat="1" customHeight="1" spans="1:6">
      <c r="A499" s="9" t="str">
        <f>"10512101717"</f>
        <v>10512101717</v>
      </c>
      <c r="B499" s="10">
        <v>33.77</v>
      </c>
      <c r="C499" s="9"/>
      <c r="D499" s="9">
        <f t="shared" si="7"/>
        <v>33.77</v>
      </c>
      <c r="E499" s="11"/>
      <c r="F499" s="9"/>
    </row>
    <row r="500" s="1" customFormat="1" customHeight="1" spans="1:6">
      <c r="A500" s="9" t="str">
        <f>"10362101718"</f>
        <v>10362101718</v>
      </c>
      <c r="B500" s="10">
        <v>45.11</v>
      </c>
      <c r="C500" s="9"/>
      <c r="D500" s="9">
        <f t="shared" si="7"/>
        <v>45.11</v>
      </c>
      <c r="E500" s="11"/>
      <c r="F500" s="9"/>
    </row>
    <row r="501" s="1" customFormat="1" customHeight="1" spans="1:6">
      <c r="A501" s="9" t="str">
        <f>"10012101719"</f>
        <v>10012101719</v>
      </c>
      <c r="B501" s="10">
        <v>40.99</v>
      </c>
      <c r="C501" s="9"/>
      <c r="D501" s="9">
        <f t="shared" si="7"/>
        <v>40.99</v>
      </c>
      <c r="E501" s="11"/>
      <c r="F501" s="9"/>
    </row>
    <row r="502" s="1" customFormat="1" customHeight="1" spans="1:6">
      <c r="A502" s="9" t="str">
        <f>"10362101720"</f>
        <v>10362101720</v>
      </c>
      <c r="B502" s="10">
        <v>40.67</v>
      </c>
      <c r="C502" s="9"/>
      <c r="D502" s="9">
        <f t="shared" si="7"/>
        <v>40.67</v>
      </c>
      <c r="E502" s="11"/>
      <c r="F502" s="9"/>
    </row>
    <row r="503" s="1" customFormat="1" customHeight="1" spans="1:6">
      <c r="A503" s="9" t="str">
        <f>"10062101721"</f>
        <v>10062101721</v>
      </c>
      <c r="B503" s="10">
        <v>0</v>
      </c>
      <c r="C503" s="9"/>
      <c r="D503" s="9">
        <f t="shared" si="7"/>
        <v>0</v>
      </c>
      <c r="E503" s="11"/>
      <c r="F503" s="9" t="s">
        <v>7</v>
      </c>
    </row>
    <row r="504" s="1" customFormat="1" customHeight="1" spans="1:6">
      <c r="A504" s="9" t="str">
        <f>"10502101722"</f>
        <v>10502101722</v>
      </c>
      <c r="B504" s="10">
        <v>39.28</v>
      </c>
      <c r="C504" s="9"/>
      <c r="D504" s="9">
        <f t="shared" si="7"/>
        <v>39.28</v>
      </c>
      <c r="E504" s="11"/>
      <c r="F504" s="9"/>
    </row>
    <row r="505" s="1" customFormat="1" customHeight="1" spans="1:6">
      <c r="A505" s="9" t="str">
        <f>"10092101723"</f>
        <v>10092101723</v>
      </c>
      <c r="B505" s="10">
        <v>75.28</v>
      </c>
      <c r="C505" s="9"/>
      <c r="D505" s="9">
        <f t="shared" si="7"/>
        <v>75.28</v>
      </c>
      <c r="E505" s="11"/>
      <c r="F505" s="9"/>
    </row>
    <row r="506" s="1" customFormat="1" customHeight="1" spans="1:6">
      <c r="A506" s="9" t="str">
        <f>"10362101724"</f>
        <v>10362101724</v>
      </c>
      <c r="B506" s="10">
        <v>49.58</v>
      </c>
      <c r="C506" s="9"/>
      <c r="D506" s="9">
        <f t="shared" si="7"/>
        <v>49.58</v>
      </c>
      <c r="E506" s="11"/>
      <c r="F506" s="9"/>
    </row>
    <row r="507" s="1" customFormat="1" customHeight="1" spans="1:6">
      <c r="A507" s="9" t="str">
        <f>"10332101725"</f>
        <v>10332101725</v>
      </c>
      <c r="B507" s="10">
        <v>39.55</v>
      </c>
      <c r="C507" s="9"/>
      <c r="D507" s="9">
        <f t="shared" si="7"/>
        <v>39.55</v>
      </c>
      <c r="E507" s="11"/>
      <c r="F507" s="9"/>
    </row>
    <row r="508" s="1" customFormat="1" customHeight="1" spans="1:6">
      <c r="A508" s="9" t="str">
        <f>"10452101726"</f>
        <v>10452101726</v>
      </c>
      <c r="B508" s="10">
        <v>35.27</v>
      </c>
      <c r="C508" s="9"/>
      <c r="D508" s="9">
        <f t="shared" si="7"/>
        <v>35.27</v>
      </c>
      <c r="E508" s="11"/>
      <c r="F508" s="9"/>
    </row>
    <row r="509" s="1" customFormat="1" customHeight="1" spans="1:6">
      <c r="A509" s="9" t="str">
        <f>"10362101727"</f>
        <v>10362101727</v>
      </c>
      <c r="B509" s="10">
        <v>0</v>
      </c>
      <c r="C509" s="9"/>
      <c r="D509" s="9">
        <f t="shared" si="7"/>
        <v>0</v>
      </c>
      <c r="E509" s="11"/>
      <c r="F509" s="9" t="s">
        <v>7</v>
      </c>
    </row>
    <row r="510" s="1" customFormat="1" customHeight="1" spans="1:6">
      <c r="A510" s="9" t="str">
        <f>"10112101728"</f>
        <v>10112101728</v>
      </c>
      <c r="B510" s="10">
        <v>0</v>
      </c>
      <c r="C510" s="9"/>
      <c r="D510" s="9">
        <f t="shared" si="7"/>
        <v>0</v>
      </c>
      <c r="E510" s="11"/>
      <c r="F510" s="9" t="s">
        <v>7</v>
      </c>
    </row>
    <row r="511" s="1" customFormat="1" customHeight="1" spans="1:6">
      <c r="A511" s="9" t="str">
        <f>"10332101729"</f>
        <v>10332101729</v>
      </c>
      <c r="B511" s="10">
        <v>38.73</v>
      </c>
      <c r="C511" s="9"/>
      <c r="D511" s="9">
        <f t="shared" si="7"/>
        <v>38.73</v>
      </c>
      <c r="E511" s="11"/>
      <c r="F511" s="9"/>
    </row>
    <row r="512" s="1" customFormat="1" customHeight="1" spans="1:6">
      <c r="A512" s="9" t="str">
        <f>"10072101730"</f>
        <v>10072101730</v>
      </c>
      <c r="B512" s="10">
        <v>38.29</v>
      </c>
      <c r="C512" s="9"/>
      <c r="D512" s="9">
        <f t="shared" si="7"/>
        <v>38.29</v>
      </c>
      <c r="E512" s="11"/>
      <c r="F512" s="9"/>
    </row>
    <row r="513" s="1" customFormat="1" customHeight="1" spans="1:6">
      <c r="A513" s="9" t="str">
        <f>"10212101801"</f>
        <v>10212101801</v>
      </c>
      <c r="B513" s="10">
        <v>42.73</v>
      </c>
      <c r="C513" s="9"/>
      <c r="D513" s="9">
        <f t="shared" si="7"/>
        <v>42.73</v>
      </c>
      <c r="E513" s="11"/>
      <c r="F513" s="9"/>
    </row>
    <row r="514" s="1" customFormat="1" customHeight="1" spans="1:6">
      <c r="A514" s="9" t="str">
        <f>"10272101802"</f>
        <v>10272101802</v>
      </c>
      <c r="B514" s="10">
        <v>31.92</v>
      </c>
      <c r="C514" s="9"/>
      <c r="D514" s="9">
        <f t="shared" si="7"/>
        <v>31.92</v>
      </c>
      <c r="E514" s="11"/>
      <c r="F514" s="9"/>
    </row>
    <row r="515" s="1" customFormat="1" customHeight="1" spans="1:6">
      <c r="A515" s="9" t="str">
        <f>"10142101803"</f>
        <v>10142101803</v>
      </c>
      <c r="B515" s="10">
        <v>44.01</v>
      </c>
      <c r="C515" s="9"/>
      <c r="D515" s="9">
        <f t="shared" ref="D515:D578" si="8">SUM(B515:C515)</f>
        <v>44.01</v>
      </c>
      <c r="E515" s="11"/>
      <c r="F515" s="9"/>
    </row>
    <row r="516" s="1" customFormat="1" customHeight="1" spans="1:6">
      <c r="A516" s="9" t="str">
        <f>"10512101804"</f>
        <v>10512101804</v>
      </c>
      <c r="B516" s="10">
        <v>0</v>
      </c>
      <c r="C516" s="9"/>
      <c r="D516" s="9">
        <f t="shared" si="8"/>
        <v>0</v>
      </c>
      <c r="E516" s="11"/>
      <c r="F516" s="9" t="s">
        <v>7</v>
      </c>
    </row>
    <row r="517" s="1" customFormat="1" customHeight="1" spans="1:6">
      <c r="A517" s="9" t="str">
        <f>"10062101805"</f>
        <v>10062101805</v>
      </c>
      <c r="B517" s="10">
        <v>0</v>
      </c>
      <c r="C517" s="9"/>
      <c r="D517" s="9">
        <f t="shared" si="8"/>
        <v>0</v>
      </c>
      <c r="E517" s="11"/>
      <c r="F517" s="9" t="s">
        <v>7</v>
      </c>
    </row>
    <row r="518" s="1" customFormat="1" customHeight="1" spans="1:6">
      <c r="A518" s="9" t="str">
        <f>"10062101806"</f>
        <v>10062101806</v>
      </c>
      <c r="B518" s="10">
        <v>0</v>
      </c>
      <c r="C518" s="9"/>
      <c r="D518" s="9">
        <f t="shared" si="8"/>
        <v>0</v>
      </c>
      <c r="E518" s="11"/>
      <c r="F518" s="9" t="s">
        <v>7</v>
      </c>
    </row>
    <row r="519" s="1" customFormat="1" customHeight="1" spans="1:6">
      <c r="A519" s="9" t="str">
        <f>"10372101807"</f>
        <v>10372101807</v>
      </c>
      <c r="B519" s="10">
        <v>44.07</v>
      </c>
      <c r="C519" s="9"/>
      <c r="D519" s="9">
        <f t="shared" si="8"/>
        <v>44.07</v>
      </c>
      <c r="E519" s="11"/>
      <c r="F519" s="9"/>
    </row>
    <row r="520" s="1" customFormat="1" customHeight="1" spans="1:6">
      <c r="A520" s="9" t="str">
        <f>"10532101808"</f>
        <v>10532101808</v>
      </c>
      <c r="B520" s="10">
        <v>34.77</v>
      </c>
      <c r="C520" s="9"/>
      <c r="D520" s="9">
        <f t="shared" si="8"/>
        <v>34.77</v>
      </c>
      <c r="E520" s="11"/>
      <c r="F520" s="9"/>
    </row>
    <row r="521" s="1" customFormat="1" customHeight="1" spans="1:6">
      <c r="A521" s="9" t="str">
        <f>"10442101809"</f>
        <v>10442101809</v>
      </c>
      <c r="B521" s="10">
        <v>42.44</v>
      </c>
      <c r="C521" s="9"/>
      <c r="D521" s="9">
        <f t="shared" si="8"/>
        <v>42.44</v>
      </c>
      <c r="E521" s="11"/>
      <c r="F521" s="9"/>
    </row>
    <row r="522" s="1" customFormat="1" customHeight="1" spans="1:6">
      <c r="A522" s="9" t="str">
        <f>"10532101810"</f>
        <v>10532101810</v>
      </c>
      <c r="B522" s="10">
        <v>0</v>
      </c>
      <c r="C522" s="9"/>
      <c r="D522" s="9">
        <f t="shared" si="8"/>
        <v>0</v>
      </c>
      <c r="E522" s="11"/>
      <c r="F522" s="9" t="s">
        <v>7</v>
      </c>
    </row>
    <row r="523" s="1" customFormat="1" customHeight="1" spans="1:6">
      <c r="A523" s="9" t="str">
        <f>"10382101811"</f>
        <v>10382101811</v>
      </c>
      <c r="B523" s="10">
        <v>0</v>
      </c>
      <c r="C523" s="9"/>
      <c r="D523" s="9">
        <f t="shared" si="8"/>
        <v>0</v>
      </c>
      <c r="E523" s="11"/>
      <c r="F523" s="9" t="s">
        <v>7</v>
      </c>
    </row>
    <row r="524" s="1" customFormat="1" customHeight="1" spans="1:6">
      <c r="A524" s="9" t="str">
        <f>"20272101812"</f>
        <v>20272101812</v>
      </c>
      <c r="B524" s="10">
        <v>46.14</v>
      </c>
      <c r="C524" s="9"/>
      <c r="D524" s="9">
        <f t="shared" si="8"/>
        <v>46.14</v>
      </c>
      <c r="E524" s="11"/>
      <c r="F524" s="9"/>
    </row>
    <row r="525" s="1" customFormat="1" customHeight="1" spans="1:6">
      <c r="A525" s="9" t="str">
        <f>"10442101813"</f>
        <v>10442101813</v>
      </c>
      <c r="B525" s="10">
        <v>36.98</v>
      </c>
      <c r="C525" s="9"/>
      <c r="D525" s="9">
        <f t="shared" si="8"/>
        <v>36.98</v>
      </c>
      <c r="E525" s="11"/>
      <c r="F525" s="9"/>
    </row>
    <row r="526" s="1" customFormat="1" customHeight="1" spans="1:6">
      <c r="A526" s="9" t="str">
        <f>"20182101814"</f>
        <v>20182101814</v>
      </c>
      <c r="B526" s="10">
        <v>48.06</v>
      </c>
      <c r="C526" s="9"/>
      <c r="D526" s="9">
        <f t="shared" si="8"/>
        <v>48.06</v>
      </c>
      <c r="E526" s="11"/>
      <c r="F526" s="9"/>
    </row>
    <row r="527" s="1" customFormat="1" customHeight="1" spans="1:6">
      <c r="A527" s="9" t="str">
        <f>"10372101815"</f>
        <v>10372101815</v>
      </c>
      <c r="B527" s="10">
        <v>0</v>
      </c>
      <c r="C527" s="9"/>
      <c r="D527" s="9">
        <f t="shared" si="8"/>
        <v>0</v>
      </c>
      <c r="E527" s="11"/>
      <c r="F527" s="9" t="s">
        <v>7</v>
      </c>
    </row>
    <row r="528" s="1" customFormat="1" customHeight="1" spans="1:6">
      <c r="A528" s="9" t="str">
        <f>"10172101816"</f>
        <v>10172101816</v>
      </c>
      <c r="B528" s="10">
        <v>51.43</v>
      </c>
      <c r="C528" s="9"/>
      <c r="D528" s="9">
        <f t="shared" si="8"/>
        <v>51.43</v>
      </c>
      <c r="E528" s="11"/>
      <c r="F528" s="9"/>
    </row>
    <row r="529" s="1" customFormat="1" customHeight="1" spans="1:6">
      <c r="A529" s="9" t="str">
        <f>"10102101817"</f>
        <v>10102101817</v>
      </c>
      <c r="B529" s="10">
        <v>37.1</v>
      </c>
      <c r="C529" s="9"/>
      <c r="D529" s="9">
        <f t="shared" si="8"/>
        <v>37.1</v>
      </c>
      <c r="E529" s="11"/>
      <c r="F529" s="9"/>
    </row>
    <row r="530" s="1" customFormat="1" customHeight="1" spans="1:6">
      <c r="A530" s="9" t="str">
        <f>"10282101818"</f>
        <v>10282101818</v>
      </c>
      <c r="B530" s="10">
        <v>0</v>
      </c>
      <c r="C530" s="9"/>
      <c r="D530" s="9">
        <f t="shared" si="8"/>
        <v>0</v>
      </c>
      <c r="E530" s="11"/>
      <c r="F530" s="9" t="s">
        <v>7</v>
      </c>
    </row>
    <row r="531" s="1" customFormat="1" customHeight="1" spans="1:6">
      <c r="A531" s="9" t="str">
        <f>"10152101819"</f>
        <v>10152101819</v>
      </c>
      <c r="B531" s="10">
        <v>0</v>
      </c>
      <c r="C531" s="9"/>
      <c r="D531" s="9">
        <f t="shared" si="8"/>
        <v>0</v>
      </c>
      <c r="E531" s="11"/>
      <c r="F531" s="9" t="s">
        <v>7</v>
      </c>
    </row>
    <row r="532" s="1" customFormat="1" customHeight="1" spans="1:6">
      <c r="A532" s="9" t="str">
        <f>"10332101820"</f>
        <v>10332101820</v>
      </c>
      <c r="B532" s="10">
        <v>36.92</v>
      </c>
      <c r="C532" s="9"/>
      <c r="D532" s="9">
        <f t="shared" si="8"/>
        <v>36.92</v>
      </c>
      <c r="E532" s="11"/>
      <c r="F532" s="9"/>
    </row>
    <row r="533" s="1" customFormat="1" customHeight="1" spans="1:6">
      <c r="A533" s="9" t="str">
        <f>"10512101821"</f>
        <v>10512101821</v>
      </c>
      <c r="B533" s="10">
        <v>34.26</v>
      </c>
      <c r="C533" s="9"/>
      <c r="D533" s="9">
        <f t="shared" si="8"/>
        <v>34.26</v>
      </c>
      <c r="E533" s="11"/>
      <c r="F533" s="9"/>
    </row>
    <row r="534" s="1" customFormat="1" customHeight="1" spans="1:6">
      <c r="A534" s="9" t="str">
        <f>"10092101822"</f>
        <v>10092101822</v>
      </c>
      <c r="B534" s="10">
        <v>48.31</v>
      </c>
      <c r="C534" s="9"/>
      <c r="D534" s="9">
        <f t="shared" si="8"/>
        <v>48.31</v>
      </c>
      <c r="E534" s="11"/>
      <c r="F534" s="9"/>
    </row>
    <row r="535" s="1" customFormat="1" customHeight="1" spans="1:6">
      <c r="A535" s="9" t="str">
        <f>"10332101823"</f>
        <v>10332101823</v>
      </c>
      <c r="B535" s="10">
        <v>0</v>
      </c>
      <c r="C535" s="9"/>
      <c r="D535" s="9">
        <f t="shared" si="8"/>
        <v>0</v>
      </c>
      <c r="E535" s="11"/>
      <c r="F535" s="9" t="s">
        <v>7</v>
      </c>
    </row>
    <row r="536" s="1" customFormat="1" customHeight="1" spans="1:6">
      <c r="A536" s="9" t="str">
        <f>"10092101824"</f>
        <v>10092101824</v>
      </c>
      <c r="B536" s="10">
        <v>58.38</v>
      </c>
      <c r="C536" s="9"/>
      <c r="D536" s="9">
        <f t="shared" si="8"/>
        <v>58.38</v>
      </c>
      <c r="E536" s="11"/>
      <c r="F536" s="9"/>
    </row>
    <row r="537" s="1" customFormat="1" customHeight="1" spans="1:6">
      <c r="A537" s="9" t="str">
        <f>"10292101825"</f>
        <v>10292101825</v>
      </c>
      <c r="B537" s="10">
        <v>0</v>
      </c>
      <c r="C537" s="9"/>
      <c r="D537" s="9">
        <f t="shared" si="8"/>
        <v>0</v>
      </c>
      <c r="E537" s="11"/>
      <c r="F537" s="9" t="s">
        <v>7</v>
      </c>
    </row>
    <row r="538" s="1" customFormat="1" customHeight="1" spans="1:6">
      <c r="A538" s="9" t="str">
        <f>"10302101826"</f>
        <v>10302101826</v>
      </c>
      <c r="B538" s="10">
        <v>0</v>
      </c>
      <c r="C538" s="9"/>
      <c r="D538" s="9">
        <f t="shared" si="8"/>
        <v>0</v>
      </c>
      <c r="E538" s="11"/>
      <c r="F538" s="9" t="s">
        <v>7</v>
      </c>
    </row>
    <row r="539" s="1" customFormat="1" customHeight="1" spans="1:6">
      <c r="A539" s="9" t="str">
        <f>"10362101827"</f>
        <v>10362101827</v>
      </c>
      <c r="B539" s="10">
        <v>33.25</v>
      </c>
      <c r="C539" s="9"/>
      <c r="D539" s="9">
        <f t="shared" si="8"/>
        <v>33.25</v>
      </c>
      <c r="E539" s="11"/>
      <c r="F539" s="9"/>
    </row>
    <row r="540" s="1" customFormat="1" customHeight="1" spans="1:6">
      <c r="A540" s="9" t="str">
        <f>"10212101828"</f>
        <v>10212101828</v>
      </c>
      <c r="B540" s="10">
        <v>0</v>
      </c>
      <c r="C540" s="9"/>
      <c r="D540" s="9">
        <f t="shared" si="8"/>
        <v>0</v>
      </c>
      <c r="E540" s="11"/>
      <c r="F540" s="9" t="s">
        <v>7</v>
      </c>
    </row>
    <row r="541" s="1" customFormat="1" customHeight="1" spans="1:6">
      <c r="A541" s="9" t="str">
        <f>"10332101829"</f>
        <v>10332101829</v>
      </c>
      <c r="B541" s="10">
        <v>45.63</v>
      </c>
      <c r="C541" s="9"/>
      <c r="D541" s="9">
        <f t="shared" si="8"/>
        <v>45.63</v>
      </c>
      <c r="E541" s="11"/>
      <c r="F541" s="9"/>
    </row>
    <row r="542" s="1" customFormat="1" customHeight="1" spans="1:6">
      <c r="A542" s="9" t="str">
        <f>"10122101830"</f>
        <v>10122101830</v>
      </c>
      <c r="B542" s="10">
        <v>36.04</v>
      </c>
      <c r="C542" s="9"/>
      <c r="D542" s="9">
        <f t="shared" si="8"/>
        <v>36.04</v>
      </c>
      <c r="E542" s="11"/>
      <c r="F542" s="9"/>
    </row>
    <row r="543" s="1" customFormat="1" customHeight="1" spans="1:6">
      <c r="A543" s="9" t="str">
        <f>"10092101901"</f>
        <v>10092101901</v>
      </c>
      <c r="B543" s="10">
        <v>49.03</v>
      </c>
      <c r="C543" s="9"/>
      <c r="D543" s="9">
        <f t="shared" si="8"/>
        <v>49.03</v>
      </c>
      <c r="E543" s="11"/>
      <c r="F543" s="9"/>
    </row>
    <row r="544" s="1" customFormat="1" customHeight="1" spans="1:6">
      <c r="A544" s="9" t="str">
        <f>"10112101902"</f>
        <v>10112101902</v>
      </c>
      <c r="B544" s="10">
        <v>0</v>
      </c>
      <c r="C544" s="9"/>
      <c r="D544" s="9">
        <f t="shared" si="8"/>
        <v>0</v>
      </c>
      <c r="E544" s="11"/>
      <c r="F544" s="9" t="s">
        <v>7</v>
      </c>
    </row>
    <row r="545" s="1" customFormat="1" customHeight="1" spans="1:6">
      <c r="A545" s="9" t="str">
        <f>"10322101903"</f>
        <v>10322101903</v>
      </c>
      <c r="B545" s="10">
        <v>47.43</v>
      </c>
      <c r="C545" s="9"/>
      <c r="D545" s="9">
        <f t="shared" si="8"/>
        <v>47.43</v>
      </c>
      <c r="E545" s="11"/>
      <c r="F545" s="9"/>
    </row>
    <row r="546" s="1" customFormat="1" customHeight="1" spans="1:6">
      <c r="A546" s="9" t="str">
        <f>"10532101904"</f>
        <v>10532101904</v>
      </c>
      <c r="B546" s="10">
        <v>53.13</v>
      </c>
      <c r="C546" s="9"/>
      <c r="D546" s="9">
        <f t="shared" si="8"/>
        <v>53.13</v>
      </c>
      <c r="E546" s="11"/>
      <c r="F546" s="9"/>
    </row>
    <row r="547" s="1" customFormat="1" customHeight="1" spans="1:6">
      <c r="A547" s="9" t="str">
        <f>"10282101905"</f>
        <v>10282101905</v>
      </c>
      <c r="B547" s="10">
        <v>41.61</v>
      </c>
      <c r="C547" s="9"/>
      <c r="D547" s="9">
        <f t="shared" si="8"/>
        <v>41.61</v>
      </c>
      <c r="E547" s="11"/>
      <c r="F547" s="9"/>
    </row>
    <row r="548" s="1" customFormat="1" customHeight="1" spans="1:6">
      <c r="A548" s="9" t="str">
        <f>"10112101906"</f>
        <v>10112101906</v>
      </c>
      <c r="B548" s="10">
        <v>39.96</v>
      </c>
      <c r="C548" s="9"/>
      <c r="D548" s="9">
        <f t="shared" si="8"/>
        <v>39.96</v>
      </c>
      <c r="E548" s="11"/>
      <c r="F548" s="9"/>
    </row>
    <row r="549" s="1" customFormat="1" customHeight="1" spans="1:6">
      <c r="A549" s="9" t="str">
        <f>"10432101907"</f>
        <v>10432101907</v>
      </c>
      <c r="B549" s="10">
        <v>0</v>
      </c>
      <c r="C549" s="9"/>
      <c r="D549" s="9">
        <f t="shared" si="8"/>
        <v>0</v>
      </c>
      <c r="E549" s="11"/>
      <c r="F549" s="9" t="s">
        <v>7</v>
      </c>
    </row>
    <row r="550" s="1" customFormat="1" customHeight="1" spans="1:6">
      <c r="A550" s="9" t="str">
        <f>"10292101908"</f>
        <v>10292101908</v>
      </c>
      <c r="B550" s="10">
        <v>40.25</v>
      </c>
      <c r="C550" s="9"/>
      <c r="D550" s="9">
        <f t="shared" si="8"/>
        <v>40.25</v>
      </c>
      <c r="E550" s="11"/>
      <c r="F550" s="9"/>
    </row>
    <row r="551" s="1" customFormat="1" customHeight="1" spans="1:6">
      <c r="A551" s="9" t="str">
        <f>"10212101909"</f>
        <v>10212101909</v>
      </c>
      <c r="B551" s="10">
        <v>41.99</v>
      </c>
      <c r="C551" s="9"/>
      <c r="D551" s="9">
        <f t="shared" si="8"/>
        <v>41.99</v>
      </c>
      <c r="E551" s="11"/>
      <c r="F551" s="9"/>
    </row>
    <row r="552" s="1" customFormat="1" customHeight="1" spans="1:6">
      <c r="A552" s="9" t="str">
        <f>"10332101910"</f>
        <v>10332101910</v>
      </c>
      <c r="B552" s="10">
        <v>0</v>
      </c>
      <c r="C552" s="9"/>
      <c r="D552" s="9">
        <f t="shared" si="8"/>
        <v>0</v>
      </c>
      <c r="E552" s="11"/>
      <c r="F552" s="9" t="s">
        <v>7</v>
      </c>
    </row>
    <row r="553" s="1" customFormat="1" customHeight="1" spans="1:6">
      <c r="A553" s="9" t="str">
        <f>"10332101911"</f>
        <v>10332101911</v>
      </c>
      <c r="B553" s="10">
        <v>0</v>
      </c>
      <c r="C553" s="9"/>
      <c r="D553" s="9">
        <f t="shared" si="8"/>
        <v>0</v>
      </c>
      <c r="E553" s="11"/>
      <c r="F553" s="9" t="s">
        <v>7</v>
      </c>
    </row>
    <row r="554" s="1" customFormat="1" customHeight="1" spans="1:6">
      <c r="A554" s="9" t="str">
        <f>"10322101912"</f>
        <v>10322101912</v>
      </c>
      <c r="B554" s="10">
        <v>45.31</v>
      </c>
      <c r="C554" s="9"/>
      <c r="D554" s="9">
        <f t="shared" si="8"/>
        <v>45.31</v>
      </c>
      <c r="E554" s="11"/>
      <c r="F554" s="9"/>
    </row>
    <row r="555" s="1" customFormat="1" customHeight="1" spans="1:6">
      <c r="A555" s="9" t="str">
        <f>"10022101913"</f>
        <v>10022101913</v>
      </c>
      <c r="B555" s="10">
        <v>40.57</v>
      </c>
      <c r="C555" s="9"/>
      <c r="D555" s="9">
        <f t="shared" si="8"/>
        <v>40.57</v>
      </c>
      <c r="E555" s="11"/>
      <c r="F555" s="9"/>
    </row>
    <row r="556" s="1" customFormat="1" customHeight="1" spans="1:6">
      <c r="A556" s="9" t="str">
        <f>"10432101914"</f>
        <v>10432101914</v>
      </c>
      <c r="B556" s="10">
        <v>37.08</v>
      </c>
      <c r="C556" s="9"/>
      <c r="D556" s="9">
        <f t="shared" si="8"/>
        <v>37.08</v>
      </c>
      <c r="E556" s="11"/>
      <c r="F556" s="9"/>
    </row>
    <row r="557" s="1" customFormat="1" customHeight="1" spans="1:6">
      <c r="A557" s="9" t="str">
        <f>"10112101915"</f>
        <v>10112101915</v>
      </c>
      <c r="B557" s="10">
        <v>38.85</v>
      </c>
      <c r="C557" s="9"/>
      <c r="D557" s="9">
        <f t="shared" si="8"/>
        <v>38.85</v>
      </c>
      <c r="E557" s="11"/>
      <c r="F557" s="9"/>
    </row>
    <row r="558" s="1" customFormat="1" customHeight="1" spans="1:6">
      <c r="A558" s="9" t="str">
        <f>"10512101916"</f>
        <v>10512101916</v>
      </c>
      <c r="B558" s="10">
        <v>0</v>
      </c>
      <c r="C558" s="9"/>
      <c r="D558" s="9">
        <f t="shared" si="8"/>
        <v>0</v>
      </c>
      <c r="E558" s="11"/>
      <c r="F558" s="9" t="s">
        <v>7</v>
      </c>
    </row>
    <row r="559" s="1" customFormat="1" customHeight="1" spans="1:6">
      <c r="A559" s="9" t="str">
        <f>"10382101917"</f>
        <v>10382101917</v>
      </c>
      <c r="B559" s="10">
        <v>36.67</v>
      </c>
      <c r="C559" s="9"/>
      <c r="D559" s="9">
        <f t="shared" si="8"/>
        <v>36.67</v>
      </c>
      <c r="E559" s="11"/>
      <c r="F559" s="9"/>
    </row>
    <row r="560" s="1" customFormat="1" customHeight="1" spans="1:6">
      <c r="A560" s="9" t="str">
        <f>"10162101918"</f>
        <v>10162101918</v>
      </c>
      <c r="B560" s="10">
        <v>43.15</v>
      </c>
      <c r="C560" s="9"/>
      <c r="D560" s="9">
        <f t="shared" si="8"/>
        <v>43.15</v>
      </c>
      <c r="E560" s="11"/>
      <c r="F560" s="9"/>
    </row>
    <row r="561" s="1" customFormat="1" customHeight="1" spans="1:6">
      <c r="A561" s="9" t="str">
        <f>"10212101919"</f>
        <v>10212101919</v>
      </c>
      <c r="B561" s="10">
        <v>38.68</v>
      </c>
      <c r="C561" s="9"/>
      <c r="D561" s="9">
        <f t="shared" si="8"/>
        <v>38.68</v>
      </c>
      <c r="E561" s="11"/>
      <c r="F561" s="9"/>
    </row>
    <row r="562" s="1" customFormat="1" customHeight="1" spans="1:6">
      <c r="A562" s="9" t="str">
        <f>"10082101920"</f>
        <v>10082101920</v>
      </c>
      <c r="B562" s="10">
        <v>39.04</v>
      </c>
      <c r="C562" s="9"/>
      <c r="D562" s="9">
        <f t="shared" si="8"/>
        <v>39.04</v>
      </c>
      <c r="E562" s="11"/>
      <c r="F562" s="9"/>
    </row>
    <row r="563" s="1" customFormat="1" customHeight="1" spans="1:6">
      <c r="A563" s="9" t="str">
        <f>"10362101921"</f>
        <v>10362101921</v>
      </c>
      <c r="B563" s="10">
        <v>48.9</v>
      </c>
      <c r="C563" s="9"/>
      <c r="D563" s="9">
        <f t="shared" si="8"/>
        <v>48.9</v>
      </c>
      <c r="E563" s="11"/>
      <c r="F563" s="9"/>
    </row>
    <row r="564" s="1" customFormat="1" customHeight="1" spans="1:6">
      <c r="A564" s="9" t="str">
        <f>"10012101922"</f>
        <v>10012101922</v>
      </c>
      <c r="B564" s="10">
        <v>44.88</v>
      </c>
      <c r="C564" s="9"/>
      <c r="D564" s="9">
        <f t="shared" si="8"/>
        <v>44.88</v>
      </c>
      <c r="E564" s="11"/>
      <c r="F564" s="9"/>
    </row>
    <row r="565" s="1" customFormat="1" customHeight="1" spans="1:6">
      <c r="A565" s="9" t="str">
        <f>"10382101923"</f>
        <v>10382101923</v>
      </c>
      <c r="B565" s="10">
        <v>53.26</v>
      </c>
      <c r="C565" s="9"/>
      <c r="D565" s="9">
        <f t="shared" si="8"/>
        <v>53.26</v>
      </c>
      <c r="E565" s="11"/>
      <c r="F565" s="9"/>
    </row>
    <row r="566" s="1" customFormat="1" customHeight="1" spans="1:6">
      <c r="A566" s="9" t="str">
        <f>"10212101924"</f>
        <v>10212101924</v>
      </c>
      <c r="B566" s="10">
        <v>0</v>
      </c>
      <c r="C566" s="9"/>
      <c r="D566" s="9">
        <f t="shared" si="8"/>
        <v>0</v>
      </c>
      <c r="E566" s="11"/>
      <c r="F566" s="9" t="s">
        <v>7</v>
      </c>
    </row>
    <row r="567" s="1" customFormat="1" customHeight="1" spans="1:6">
      <c r="A567" s="9" t="str">
        <f>"10462101925"</f>
        <v>10462101925</v>
      </c>
      <c r="B567" s="10">
        <v>37.93</v>
      </c>
      <c r="C567" s="9"/>
      <c r="D567" s="9">
        <f t="shared" si="8"/>
        <v>37.93</v>
      </c>
      <c r="E567" s="11"/>
      <c r="F567" s="9"/>
    </row>
    <row r="568" s="1" customFormat="1" customHeight="1" spans="1:6">
      <c r="A568" s="9" t="str">
        <f>"10202101926"</f>
        <v>10202101926</v>
      </c>
      <c r="B568" s="10">
        <v>36.85</v>
      </c>
      <c r="C568" s="9"/>
      <c r="D568" s="9">
        <f t="shared" si="8"/>
        <v>36.85</v>
      </c>
      <c r="E568" s="11"/>
      <c r="F568" s="9"/>
    </row>
    <row r="569" s="1" customFormat="1" customHeight="1" spans="1:6">
      <c r="A569" s="9" t="str">
        <f>"10082101927"</f>
        <v>10082101927</v>
      </c>
      <c r="B569" s="10">
        <v>40.79</v>
      </c>
      <c r="C569" s="9"/>
      <c r="D569" s="9">
        <f t="shared" si="8"/>
        <v>40.79</v>
      </c>
      <c r="E569" s="11"/>
      <c r="F569" s="9"/>
    </row>
    <row r="570" s="1" customFormat="1" customHeight="1" spans="1:6">
      <c r="A570" s="9" t="str">
        <f>"10102101928"</f>
        <v>10102101928</v>
      </c>
      <c r="B570" s="10">
        <v>46.98</v>
      </c>
      <c r="C570" s="9"/>
      <c r="D570" s="9">
        <f t="shared" si="8"/>
        <v>46.98</v>
      </c>
      <c r="E570" s="11"/>
      <c r="F570" s="9"/>
    </row>
    <row r="571" s="1" customFormat="1" customHeight="1" spans="1:6">
      <c r="A571" s="9" t="str">
        <f>"10132101929"</f>
        <v>10132101929</v>
      </c>
      <c r="B571" s="10">
        <v>0</v>
      </c>
      <c r="C571" s="9"/>
      <c r="D571" s="9">
        <f t="shared" si="8"/>
        <v>0</v>
      </c>
      <c r="E571" s="11"/>
      <c r="F571" s="9" t="s">
        <v>7</v>
      </c>
    </row>
    <row r="572" s="1" customFormat="1" customHeight="1" spans="1:6">
      <c r="A572" s="9" t="str">
        <f>"10132101930"</f>
        <v>10132101930</v>
      </c>
      <c r="B572" s="10">
        <v>78.43</v>
      </c>
      <c r="C572" s="9"/>
      <c r="D572" s="9">
        <f t="shared" si="8"/>
        <v>78.43</v>
      </c>
      <c r="E572" s="11"/>
      <c r="F572" s="9"/>
    </row>
    <row r="573" s="1" customFormat="1" customHeight="1" spans="1:6">
      <c r="A573" s="9" t="str">
        <f>"10472102001"</f>
        <v>10472102001</v>
      </c>
      <c r="B573" s="10">
        <v>41.45</v>
      </c>
      <c r="C573" s="9"/>
      <c r="D573" s="9">
        <f t="shared" si="8"/>
        <v>41.45</v>
      </c>
      <c r="E573" s="11"/>
      <c r="F573" s="9"/>
    </row>
    <row r="574" s="1" customFormat="1" customHeight="1" spans="1:6">
      <c r="A574" s="9" t="str">
        <f>"10052102002"</f>
        <v>10052102002</v>
      </c>
      <c r="B574" s="10">
        <v>0</v>
      </c>
      <c r="C574" s="9"/>
      <c r="D574" s="9">
        <f t="shared" si="8"/>
        <v>0</v>
      </c>
      <c r="E574" s="11"/>
      <c r="F574" s="9" t="s">
        <v>7</v>
      </c>
    </row>
    <row r="575" s="1" customFormat="1" customHeight="1" spans="1:6">
      <c r="A575" s="9" t="str">
        <f>"10302102003"</f>
        <v>10302102003</v>
      </c>
      <c r="B575" s="10">
        <v>0</v>
      </c>
      <c r="C575" s="9"/>
      <c r="D575" s="9">
        <f t="shared" si="8"/>
        <v>0</v>
      </c>
      <c r="E575" s="11"/>
      <c r="F575" s="9" t="s">
        <v>7</v>
      </c>
    </row>
    <row r="576" s="1" customFormat="1" customHeight="1" spans="1:6">
      <c r="A576" s="9" t="str">
        <f>"10092102004"</f>
        <v>10092102004</v>
      </c>
      <c r="B576" s="10">
        <v>40.96</v>
      </c>
      <c r="C576" s="9"/>
      <c r="D576" s="9">
        <f t="shared" si="8"/>
        <v>40.96</v>
      </c>
      <c r="E576" s="11"/>
      <c r="F576" s="9"/>
    </row>
    <row r="577" s="1" customFormat="1" customHeight="1" spans="1:6">
      <c r="A577" s="9" t="str">
        <f>"10522102005"</f>
        <v>10522102005</v>
      </c>
      <c r="B577" s="10">
        <v>40.69</v>
      </c>
      <c r="C577" s="9"/>
      <c r="D577" s="9">
        <f t="shared" si="8"/>
        <v>40.69</v>
      </c>
      <c r="E577" s="11"/>
      <c r="F577" s="9"/>
    </row>
    <row r="578" s="1" customFormat="1" customHeight="1" spans="1:6">
      <c r="A578" s="9" t="str">
        <f>"10362102006"</f>
        <v>10362102006</v>
      </c>
      <c r="B578" s="10">
        <v>0</v>
      </c>
      <c r="C578" s="9"/>
      <c r="D578" s="9">
        <f t="shared" si="8"/>
        <v>0</v>
      </c>
      <c r="E578" s="11"/>
      <c r="F578" s="9" t="s">
        <v>7</v>
      </c>
    </row>
    <row r="579" s="1" customFormat="1" customHeight="1" spans="1:6">
      <c r="A579" s="9" t="str">
        <f>"10042102007"</f>
        <v>10042102007</v>
      </c>
      <c r="B579" s="10">
        <v>37</v>
      </c>
      <c r="C579" s="9"/>
      <c r="D579" s="9">
        <f t="shared" ref="D579:D642" si="9">SUM(B579:C579)</f>
        <v>37</v>
      </c>
      <c r="E579" s="11"/>
      <c r="F579" s="9"/>
    </row>
    <row r="580" s="1" customFormat="1" customHeight="1" spans="1:6">
      <c r="A580" s="9" t="str">
        <f>"10532102008"</f>
        <v>10532102008</v>
      </c>
      <c r="B580" s="10">
        <v>45.69</v>
      </c>
      <c r="C580" s="9"/>
      <c r="D580" s="9">
        <f t="shared" si="9"/>
        <v>45.69</v>
      </c>
      <c r="E580" s="11"/>
      <c r="F580" s="9"/>
    </row>
    <row r="581" s="1" customFormat="1" customHeight="1" spans="1:6">
      <c r="A581" s="9" t="str">
        <f>"10532102009"</f>
        <v>10532102009</v>
      </c>
      <c r="B581" s="10">
        <v>50.62</v>
      </c>
      <c r="C581" s="9"/>
      <c r="D581" s="9">
        <f t="shared" si="9"/>
        <v>50.62</v>
      </c>
      <c r="E581" s="11"/>
      <c r="F581" s="9"/>
    </row>
    <row r="582" s="1" customFormat="1" customHeight="1" spans="1:6">
      <c r="A582" s="9" t="str">
        <f>"10122102010"</f>
        <v>10122102010</v>
      </c>
      <c r="B582" s="10">
        <v>42.96</v>
      </c>
      <c r="C582" s="9"/>
      <c r="D582" s="9">
        <f t="shared" si="9"/>
        <v>42.96</v>
      </c>
      <c r="E582" s="11"/>
      <c r="F582" s="9"/>
    </row>
    <row r="583" s="1" customFormat="1" customHeight="1" spans="1:6">
      <c r="A583" s="9" t="str">
        <f>"10362102011"</f>
        <v>10362102011</v>
      </c>
      <c r="B583" s="10">
        <v>37.65</v>
      </c>
      <c r="C583" s="9"/>
      <c r="D583" s="9">
        <f t="shared" si="9"/>
        <v>37.65</v>
      </c>
      <c r="E583" s="11"/>
      <c r="F583" s="9"/>
    </row>
    <row r="584" s="1" customFormat="1" customHeight="1" spans="1:6">
      <c r="A584" s="9" t="str">
        <f>"10512102012"</f>
        <v>10512102012</v>
      </c>
      <c r="B584" s="10">
        <v>0</v>
      </c>
      <c r="C584" s="9"/>
      <c r="D584" s="9">
        <f t="shared" si="9"/>
        <v>0</v>
      </c>
      <c r="E584" s="11"/>
      <c r="F584" s="9" t="s">
        <v>7</v>
      </c>
    </row>
    <row r="585" s="1" customFormat="1" customHeight="1" spans="1:6">
      <c r="A585" s="9" t="str">
        <f>"10102102013"</f>
        <v>10102102013</v>
      </c>
      <c r="B585" s="10">
        <v>43.6</v>
      </c>
      <c r="C585" s="9"/>
      <c r="D585" s="9">
        <f t="shared" si="9"/>
        <v>43.6</v>
      </c>
      <c r="E585" s="11"/>
      <c r="F585" s="9"/>
    </row>
    <row r="586" s="1" customFormat="1" customHeight="1" spans="1:6">
      <c r="A586" s="9" t="str">
        <f>"10302102014"</f>
        <v>10302102014</v>
      </c>
      <c r="B586" s="10">
        <v>41.18</v>
      </c>
      <c r="C586" s="9"/>
      <c r="D586" s="9">
        <f t="shared" si="9"/>
        <v>41.18</v>
      </c>
      <c r="E586" s="11"/>
      <c r="F586" s="9"/>
    </row>
    <row r="587" s="1" customFormat="1" customHeight="1" spans="1:6">
      <c r="A587" s="9" t="str">
        <f>"10052102015"</f>
        <v>10052102015</v>
      </c>
      <c r="B587" s="10">
        <v>0</v>
      </c>
      <c r="C587" s="9"/>
      <c r="D587" s="9">
        <f t="shared" si="9"/>
        <v>0</v>
      </c>
      <c r="E587" s="11"/>
      <c r="F587" s="9" t="s">
        <v>7</v>
      </c>
    </row>
    <row r="588" s="1" customFormat="1" customHeight="1" spans="1:6">
      <c r="A588" s="9" t="str">
        <f>"10242102016"</f>
        <v>10242102016</v>
      </c>
      <c r="B588" s="10">
        <v>40.16</v>
      </c>
      <c r="C588" s="9"/>
      <c r="D588" s="9">
        <f t="shared" si="9"/>
        <v>40.16</v>
      </c>
      <c r="E588" s="11"/>
      <c r="F588" s="9"/>
    </row>
    <row r="589" s="1" customFormat="1" customHeight="1" spans="1:6">
      <c r="A589" s="9" t="str">
        <f>"10522102017"</f>
        <v>10522102017</v>
      </c>
      <c r="B589" s="10">
        <v>47.83</v>
      </c>
      <c r="C589" s="9"/>
      <c r="D589" s="9">
        <f t="shared" si="9"/>
        <v>47.83</v>
      </c>
      <c r="E589" s="11"/>
      <c r="F589" s="9"/>
    </row>
    <row r="590" s="1" customFormat="1" customHeight="1" spans="1:6">
      <c r="A590" s="9" t="str">
        <f>"10522102018"</f>
        <v>10522102018</v>
      </c>
      <c r="B590" s="10">
        <v>46.78</v>
      </c>
      <c r="C590" s="9"/>
      <c r="D590" s="9">
        <f t="shared" si="9"/>
        <v>46.78</v>
      </c>
      <c r="E590" s="11"/>
      <c r="F590" s="9"/>
    </row>
    <row r="591" s="1" customFormat="1" customHeight="1" spans="1:6">
      <c r="A591" s="9" t="str">
        <f>"10112102019"</f>
        <v>10112102019</v>
      </c>
      <c r="B591" s="10">
        <v>41.16</v>
      </c>
      <c r="C591" s="9"/>
      <c r="D591" s="9">
        <f t="shared" si="9"/>
        <v>41.16</v>
      </c>
      <c r="E591" s="11"/>
      <c r="F591" s="9"/>
    </row>
    <row r="592" s="1" customFormat="1" customHeight="1" spans="1:6">
      <c r="A592" s="9" t="str">
        <f>"10072102020"</f>
        <v>10072102020</v>
      </c>
      <c r="B592" s="10">
        <v>35.89</v>
      </c>
      <c r="C592" s="9"/>
      <c r="D592" s="9">
        <f t="shared" si="9"/>
        <v>35.89</v>
      </c>
      <c r="E592" s="11"/>
      <c r="F592" s="9"/>
    </row>
    <row r="593" s="1" customFormat="1" customHeight="1" spans="1:6">
      <c r="A593" s="9" t="str">
        <f>"10172102021"</f>
        <v>10172102021</v>
      </c>
      <c r="B593" s="10">
        <v>52.66</v>
      </c>
      <c r="C593" s="9"/>
      <c r="D593" s="9">
        <f t="shared" si="9"/>
        <v>52.66</v>
      </c>
      <c r="E593" s="11"/>
      <c r="F593" s="9"/>
    </row>
    <row r="594" s="1" customFormat="1" customHeight="1" spans="1:6">
      <c r="A594" s="9" t="str">
        <f>"10362102022"</f>
        <v>10362102022</v>
      </c>
      <c r="B594" s="10">
        <v>38.38</v>
      </c>
      <c r="C594" s="9"/>
      <c r="D594" s="9">
        <f t="shared" si="9"/>
        <v>38.38</v>
      </c>
      <c r="E594" s="11"/>
      <c r="F594" s="9"/>
    </row>
    <row r="595" s="1" customFormat="1" customHeight="1" spans="1:6">
      <c r="A595" s="9" t="str">
        <f>"10232102023"</f>
        <v>10232102023</v>
      </c>
      <c r="B595" s="10">
        <v>46.2</v>
      </c>
      <c r="C595" s="9"/>
      <c r="D595" s="9">
        <f t="shared" si="9"/>
        <v>46.2</v>
      </c>
      <c r="E595" s="11"/>
      <c r="F595" s="9"/>
    </row>
    <row r="596" s="1" customFormat="1" customHeight="1" spans="1:6">
      <c r="A596" s="9" t="str">
        <f>"10332102024"</f>
        <v>10332102024</v>
      </c>
      <c r="B596" s="10">
        <v>44.83</v>
      </c>
      <c r="C596" s="9"/>
      <c r="D596" s="9">
        <f t="shared" si="9"/>
        <v>44.83</v>
      </c>
      <c r="E596" s="11"/>
      <c r="F596" s="9"/>
    </row>
    <row r="597" s="1" customFormat="1" customHeight="1" spans="1:6">
      <c r="A597" s="9" t="str">
        <f>"10362102025"</f>
        <v>10362102025</v>
      </c>
      <c r="B597" s="10">
        <v>30.48</v>
      </c>
      <c r="C597" s="9"/>
      <c r="D597" s="9">
        <f t="shared" si="9"/>
        <v>30.48</v>
      </c>
      <c r="E597" s="11"/>
      <c r="F597" s="9"/>
    </row>
    <row r="598" s="1" customFormat="1" customHeight="1" spans="1:6">
      <c r="A598" s="9" t="str">
        <f>"10232102026"</f>
        <v>10232102026</v>
      </c>
      <c r="B598" s="10">
        <v>45.54</v>
      </c>
      <c r="C598" s="9"/>
      <c r="D598" s="9">
        <f t="shared" si="9"/>
        <v>45.54</v>
      </c>
      <c r="E598" s="11"/>
      <c r="F598" s="9"/>
    </row>
    <row r="599" s="1" customFormat="1" customHeight="1" spans="1:6">
      <c r="A599" s="9" t="str">
        <f>"10362102027"</f>
        <v>10362102027</v>
      </c>
      <c r="B599" s="10">
        <v>43.17</v>
      </c>
      <c r="C599" s="9"/>
      <c r="D599" s="9">
        <f t="shared" si="9"/>
        <v>43.17</v>
      </c>
      <c r="E599" s="11"/>
      <c r="F599" s="9"/>
    </row>
    <row r="600" s="1" customFormat="1" customHeight="1" spans="1:6">
      <c r="A600" s="9" t="str">
        <f>"10362102028"</f>
        <v>10362102028</v>
      </c>
      <c r="B600" s="10">
        <v>41.6</v>
      </c>
      <c r="C600" s="9"/>
      <c r="D600" s="9">
        <f t="shared" si="9"/>
        <v>41.6</v>
      </c>
      <c r="E600" s="11"/>
      <c r="F600" s="9"/>
    </row>
    <row r="601" s="1" customFormat="1" customHeight="1" spans="1:6">
      <c r="A601" s="9" t="str">
        <f>"10362102029"</f>
        <v>10362102029</v>
      </c>
      <c r="B601" s="10">
        <v>36.86</v>
      </c>
      <c r="C601" s="9"/>
      <c r="D601" s="9">
        <f t="shared" si="9"/>
        <v>36.86</v>
      </c>
      <c r="E601" s="11"/>
      <c r="F601" s="9"/>
    </row>
    <row r="602" s="1" customFormat="1" customHeight="1" spans="1:6">
      <c r="A602" s="9" t="str">
        <f>"10062102030"</f>
        <v>10062102030</v>
      </c>
      <c r="B602" s="10">
        <v>50.33</v>
      </c>
      <c r="C602" s="9"/>
      <c r="D602" s="9">
        <f t="shared" si="9"/>
        <v>50.33</v>
      </c>
      <c r="E602" s="11"/>
      <c r="F602" s="9"/>
    </row>
    <row r="603" s="1" customFormat="1" customHeight="1" spans="1:6">
      <c r="A603" s="9" t="str">
        <f>"10022102101"</f>
        <v>10022102101</v>
      </c>
      <c r="B603" s="10">
        <v>37.46</v>
      </c>
      <c r="C603" s="9"/>
      <c r="D603" s="9">
        <f t="shared" si="9"/>
        <v>37.46</v>
      </c>
      <c r="E603" s="11"/>
      <c r="F603" s="9"/>
    </row>
    <row r="604" s="1" customFormat="1" customHeight="1" spans="1:6">
      <c r="A604" s="9" t="str">
        <f>"10092102102"</f>
        <v>10092102102</v>
      </c>
      <c r="B604" s="10">
        <v>53.58</v>
      </c>
      <c r="C604" s="9"/>
      <c r="D604" s="9">
        <f t="shared" si="9"/>
        <v>53.58</v>
      </c>
      <c r="E604" s="11"/>
      <c r="F604" s="9"/>
    </row>
    <row r="605" s="1" customFormat="1" customHeight="1" spans="1:6">
      <c r="A605" s="9" t="str">
        <f>"10362102103"</f>
        <v>10362102103</v>
      </c>
      <c r="B605" s="10">
        <v>36.11</v>
      </c>
      <c r="C605" s="9"/>
      <c r="D605" s="9">
        <f t="shared" si="9"/>
        <v>36.11</v>
      </c>
      <c r="E605" s="11"/>
      <c r="F605" s="9"/>
    </row>
    <row r="606" s="1" customFormat="1" customHeight="1" spans="1:6">
      <c r="A606" s="9" t="str">
        <f>"10202102104"</f>
        <v>10202102104</v>
      </c>
      <c r="B606" s="10">
        <v>0</v>
      </c>
      <c r="C606" s="9"/>
      <c r="D606" s="9">
        <f t="shared" si="9"/>
        <v>0</v>
      </c>
      <c r="E606" s="11"/>
      <c r="F606" s="9" t="s">
        <v>7</v>
      </c>
    </row>
    <row r="607" s="1" customFormat="1" customHeight="1" spans="1:6">
      <c r="A607" s="9" t="str">
        <f>"10332102105"</f>
        <v>10332102105</v>
      </c>
      <c r="B607" s="10">
        <v>37.65</v>
      </c>
      <c r="C607" s="9"/>
      <c r="D607" s="9">
        <f t="shared" si="9"/>
        <v>37.65</v>
      </c>
      <c r="E607" s="11"/>
      <c r="F607" s="9"/>
    </row>
    <row r="608" s="1" customFormat="1" customHeight="1" spans="1:6">
      <c r="A608" s="9" t="str">
        <f>"10522102106"</f>
        <v>10522102106</v>
      </c>
      <c r="B608" s="10">
        <v>0</v>
      </c>
      <c r="C608" s="9"/>
      <c r="D608" s="9">
        <f t="shared" si="9"/>
        <v>0</v>
      </c>
      <c r="E608" s="11"/>
      <c r="F608" s="9" t="s">
        <v>7</v>
      </c>
    </row>
    <row r="609" s="1" customFormat="1" customHeight="1" spans="1:6">
      <c r="A609" s="9" t="str">
        <f>"10142102107"</f>
        <v>10142102107</v>
      </c>
      <c r="B609" s="10">
        <v>0</v>
      </c>
      <c r="C609" s="9"/>
      <c r="D609" s="9">
        <f t="shared" si="9"/>
        <v>0</v>
      </c>
      <c r="E609" s="11"/>
      <c r="F609" s="9" t="s">
        <v>7</v>
      </c>
    </row>
    <row r="610" s="1" customFormat="1" customHeight="1" spans="1:6">
      <c r="A610" s="9" t="str">
        <f>"10362102108"</f>
        <v>10362102108</v>
      </c>
      <c r="B610" s="10">
        <v>39.11</v>
      </c>
      <c r="C610" s="9"/>
      <c r="D610" s="9">
        <f t="shared" si="9"/>
        <v>39.11</v>
      </c>
      <c r="E610" s="11"/>
      <c r="F610" s="9"/>
    </row>
    <row r="611" s="1" customFormat="1" customHeight="1" spans="1:6">
      <c r="A611" s="9" t="str">
        <f>"10212102109"</f>
        <v>10212102109</v>
      </c>
      <c r="B611" s="10">
        <v>0</v>
      </c>
      <c r="C611" s="9"/>
      <c r="D611" s="9">
        <f t="shared" si="9"/>
        <v>0</v>
      </c>
      <c r="E611" s="11"/>
      <c r="F611" s="9" t="s">
        <v>7</v>
      </c>
    </row>
    <row r="612" s="1" customFormat="1" customHeight="1" spans="1:6">
      <c r="A612" s="9" t="str">
        <f>"10082102110"</f>
        <v>10082102110</v>
      </c>
      <c r="B612" s="10">
        <v>35.27</v>
      </c>
      <c r="C612" s="9"/>
      <c r="D612" s="9">
        <f t="shared" si="9"/>
        <v>35.27</v>
      </c>
      <c r="E612" s="11"/>
      <c r="F612" s="9"/>
    </row>
    <row r="613" s="1" customFormat="1" customHeight="1" spans="1:6">
      <c r="A613" s="9" t="str">
        <f>"10322102111"</f>
        <v>10322102111</v>
      </c>
      <c r="B613" s="10">
        <v>40.66</v>
      </c>
      <c r="C613" s="9"/>
      <c r="D613" s="9">
        <f t="shared" si="9"/>
        <v>40.66</v>
      </c>
      <c r="E613" s="11"/>
      <c r="F613" s="9"/>
    </row>
    <row r="614" s="1" customFormat="1" customHeight="1" spans="1:6">
      <c r="A614" s="9" t="str">
        <f>"10142102112"</f>
        <v>10142102112</v>
      </c>
      <c r="B614" s="10">
        <v>46.47</v>
      </c>
      <c r="C614" s="9"/>
      <c r="D614" s="9">
        <f t="shared" si="9"/>
        <v>46.47</v>
      </c>
      <c r="E614" s="11"/>
      <c r="F614" s="9"/>
    </row>
    <row r="615" s="1" customFormat="1" customHeight="1" spans="1:6">
      <c r="A615" s="9" t="str">
        <f>"10192102113"</f>
        <v>10192102113</v>
      </c>
      <c r="B615" s="10">
        <v>35.89</v>
      </c>
      <c r="C615" s="9"/>
      <c r="D615" s="9">
        <f t="shared" si="9"/>
        <v>35.89</v>
      </c>
      <c r="E615" s="11"/>
      <c r="F615" s="9"/>
    </row>
    <row r="616" s="1" customFormat="1" customHeight="1" spans="1:6">
      <c r="A616" s="9" t="str">
        <f>"10302102114"</f>
        <v>10302102114</v>
      </c>
      <c r="B616" s="10">
        <v>45.65</v>
      </c>
      <c r="C616" s="9"/>
      <c r="D616" s="9">
        <f t="shared" si="9"/>
        <v>45.65</v>
      </c>
      <c r="E616" s="11"/>
      <c r="F616" s="9"/>
    </row>
    <row r="617" s="1" customFormat="1" customHeight="1" spans="1:6">
      <c r="A617" s="9" t="str">
        <f>"10102102115"</f>
        <v>10102102115</v>
      </c>
      <c r="B617" s="10">
        <v>0</v>
      </c>
      <c r="C617" s="9"/>
      <c r="D617" s="9">
        <f t="shared" si="9"/>
        <v>0</v>
      </c>
      <c r="E617" s="11"/>
      <c r="F617" s="9" t="s">
        <v>7</v>
      </c>
    </row>
    <row r="618" s="1" customFormat="1" customHeight="1" spans="1:6">
      <c r="A618" s="9" t="str">
        <f>"10532102116"</f>
        <v>10532102116</v>
      </c>
      <c r="B618" s="10">
        <v>40.02</v>
      </c>
      <c r="C618" s="9"/>
      <c r="D618" s="9">
        <f t="shared" si="9"/>
        <v>40.02</v>
      </c>
      <c r="E618" s="11"/>
      <c r="F618" s="9"/>
    </row>
    <row r="619" s="1" customFormat="1" customHeight="1" spans="1:6">
      <c r="A619" s="9" t="str">
        <f>"10362102117"</f>
        <v>10362102117</v>
      </c>
      <c r="B619" s="10">
        <v>42.79</v>
      </c>
      <c r="C619" s="9"/>
      <c r="D619" s="9">
        <f t="shared" si="9"/>
        <v>42.79</v>
      </c>
      <c r="E619" s="11"/>
      <c r="F619" s="9"/>
    </row>
    <row r="620" s="1" customFormat="1" customHeight="1" spans="1:6">
      <c r="A620" s="9" t="str">
        <f>"10362102118"</f>
        <v>10362102118</v>
      </c>
      <c r="B620" s="10">
        <v>0</v>
      </c>
      <c r="C620" s="9"/>
      <c r="D620" s="9">
        <f t="shared" si="9"/>
        <v>0</v>
      </c>
      <c r="E620" s="11"/>
      <c r="F620" s="9" t="s">
        <v>7</v>
      </c>
    </row>
    <row r="621" s="1" customFormat="1" customHeight="1" spans="1:6">
      <c r="A621" s="9" t="str">
        <f>"10532102119"</f>
        <v>10532102119</v>
      </c>
      <c r="B621" s="10">
        <v>39.62</v>
      </c>
      <c r="C621" s="9"/>
      <c r="D621" s="9">
        <f t="shared" si="9"/>
        <v>39.62</v>
      </c>
      <c r="E621" s="11"/>
      <c r="F621" s="9"/>
    </row>
    <row r="622" s="1" customFormat="1" customHeight="1" spans="1:6">
      <c r="A622" s="9" t="str">
        <f>"10112102120"</f>
        <v>10112102120</v>
      </c>
      <c r="B622" s="10">
        <v>39.3</v>
      </c>
      <c r="C622" s="9"/>
      <c r="D622" s="9">
        <f t="shared" si="9"/>
        <v>39.3</v>
      </c>
      <c r="E622" s="11"/>
      <c r="F622" s="9"/>
    </row>
    <row r="623" s="1" customFormat="1" customHeight="1" spans="1:6">
      <c r="A623" s="9" t="str">
        <f>"10022102121"</f>
        <v>10022102121</v>
      </c>
      <c r="B623" s="10">
        <v>46.52</v>
      </c>
      <c r="C623" s="9"/>
      <c r="D623" s="9">
        <f t="shared" si="9"/>
        <v>46.52</v>
      </c>
      <c r="E623" s="11"/>
      <c r="F623" s="9"/>
    </row>
    <row r="624" s="1" customFormat="1" customHeight="1" spans="1:6">
      <c r="A624" s="9" t="str">
        <f>"10362102122"</f>
        <v>10362102122</v>
      </c>
      <c r="B624" s="10">
        <v>34.02</v>
      </c>
      <c r="C624" s="9"/>
      <c r="D624" s="9">
        <f t="shared" si="9"/>
        <v>34.02</v>
      </c>
      <c r="E624" s="11"/>
      <c r="F624" s="9"/>
    </row>
    <row r="625" s="1" customFormat="1" customHeight="1" spans="1:6">
      <c r="A625" s="9" t="str">
        <f>"10202102123"</f>
        <v>10202102123</v>
      </c>
      <c r="B625" s="10">
        <v>0</v>
      </c>
      <c r="C625" s="9"/>
      <c r="D625" s="9">
        <f t="shared" si="9"/>
        <v>0</v>
      </c>
      <c r="E625" s="11"/>
      <c r="F625" s="9" t="s">
        <v>7</v>
      </c>
    </row>
    <row r="626" s="1" customFormat="1" customHeight="1" spans="1:6">
      <c r="A626" s="9" t="str">
        <f>"10522102124"</f>
        <v>10522102124</v>
      </c>
      <c r="B626" s="10">
        <v>37.4</v>
      </c>
      <c r="C626" s="9"/>
      <c r="D626" s="9">
        <f t="shared" si="9"/>
        <v>37.4</v>
      </c>
      <c r="E626" s="11"/>
      <c r="F626" s="9"/>
    </row>
    <row r="627" s="1" customFormat="1" customHeight="1" spans="1:6">
      <c r="A627" s="9" t="str">
        <f>"10382102125"</f>
        <v>10382102125</v>
      </c>
      <c r="B627" s="10">
        <v>0</v>
      </c>
      <c r="C627" s="9"/>
      <c r="D627" s="9">
        <f t="shared" si="9"/>
        <v>0</v>
      </c>
      <c r="E627" s="11"/>
      <c r="F627" s="9" t="s">
        <v>7</v>
      </c>
    </row>
    <row r="628" s="1" customFormat="1" customHeight="1" spans="1:6">
      <c r="A628" s="9" t="str">
        <f>"10362102126"</f>
        <v>10362102126</v>
      </c>
      <c r="B628" s="10">
        <v>0</v>
      </c>
      <c r="C628" s="9"/>
      <c r="D628" s="9">
        <f t="shared" si="9"/>
        <v>0</v>
      </c>
      <c r="E628" s="11"/>
      <c r="F628" s="9" t="s">
        <v>7</v>
      </c>
    </row>
    <row r="629" s="1" customFormat="1" customHeight="1" spans="1:6">
      <c r="A629" s="9" t="str">
        <f>"10072102127"</f>
        <v>10072102127</v>
      </c>
      <c r="B629" s="10">
        <v>0</v>
      </c>
      <c r="C629" s="9"/>
      <c r="D629" s="9">
        <f t="shared" si="9"/>
        <v>0</v>
      </c>
      <c r="E629" s="11"/>
      <c r="F629" s="9" t="s">
        <v>7</v>
      </c>
    </row>
    <row r="630" s="1" customFormat="1" customHeight="1" spans="1:6">
      <c r="A630" s="9" t="str">
        <f>"10302102128"</f>
        <v>10302102128</v>
      </c>
      <c r="B630" s="10">
        <v>0</v>
      </c>
      <c r="C630" s="9"/>
      <c r="D630" s="9">
        <f t="shared" si="9"/>
        <v>0</v>
      </c>
      <c r="E630" s="11"/>
      <c r="F630" s="9" t="s">
        <v>7</v>
      </c>
    </row>
    <row r="631" s="1" customFormat="1" customHeight="1" spans="1:6">
      <c r="A631" s="9" t="str">
        <f>"10372102129"</f>
        <v>10372102129</v>
      </c>
      <c r="B631" s="10">
        <v>34.01</v>
      </c>
      <c r="C631" s="9"/>
      <c r="D631" s="9">
        <f t="shared" si="9"/>
        <v>34.01</v>
      </c>
      <c r="E631" s="11"/>
      <c r="F631" s="9"/>
    </row>
    <row r="632" s="1" customFormat="1" customHeight="1" spans="1:6">
      <c r="A632" s="9" t="str">
        <f>"10062102130"</f>
        <v>10062102130</v>
      </c>
      <c r="B632" s="10">
        <v>37.5</v>
      </c>
      <c r="C632" s="9"/>
      <c r="D632" s="9">
        <f t="shared" si="9"/>
        <v>37.5</v>
      </c>
      <c r="E632" s="11"/>
      <c r="F632" s="9"/>
    </row>
    <row r="633" s="1" customFormat="1" customHeight="1" spans="1:6">
      <c r="A633" s="9" t="str">
        <f>"10532102201"</f>
        <v>10532102201</v>
      </c>
      <c r="B633" s="10">
        <v>39.59</v>
      </c>
      <c r="C633" s="9"/>
      <c r="D633" s="9">
        <f t="shared" si="9"/>
        <v>39.59</v>
      </c>
      <c r="E633" s="11"/>
      <c r="F633" s="9"/>
    </row>
    <row r="634" s="1" customFormat="1" customHeight="1" spans="1:6">
      <c r="A634" s="9" t="str">
        <f>"10532102202"</f>
        <v>10532102202</v>
      </c>
      <c r="B634" s="10">
        <v>29.76</v>
      </c>
      <c r="C634" s="9"/>
      <c r="D634" s="9">
        <f t="shared" si="9"/>
        <v>29.76</v>
      </c>
      <c r="E634" s="11"/>
      <c r="F634" s="9"/>
    </row>
    <row r="635" s="1" customFormat="1" customHeight="1" spans="1:6">
      <c r="A635" s="9" t="str">
        <f>"10202102203"</f>
        <v>10202102203</v>
      </c>
      <c r="B635" s="10">
        <v>43.66</v>
      </c>
      <c r="C635" s="9"/>
      <c r="D635" s="9">
        <f t="shared" si="9"/>
        <v>43.66</v>
      </c>
      <c r="E635" s="11"/>
      <c r="F635" s="9"/>
    </row>
    <row r="636" s="1" customFormat="1" customHeight="1" spans="1:6">
      <c r="A636" s="9" t="str">
        <f>"10122102204"</f>
        <v>10122102204</v>
      </c>
      <c r="B636" s="10">
        <v>39.28</v>
      </c>
      <c r="C636" s="9"/>
      <c r="D636" s="9">
        <f t="shared" si="9"/>
        <v>39.28</v>
      </c>
      <c r="E636" s="11"/>
      <c r="F636" s="9"/>
    </row>
    <row r="637" s="1" customFormat="1" customHeight="1" spans="1:6">
      <c r="A637" s="9" t="str">
        <f>"20272102205"</f>
        <v>20272102205</v>
      </c>
      <c r="B637" s="10">
        <v>47.97</v>
      </c>
      <c r="C637" s="9"/>
      <c r="D637" s="9">
        <f t="shared" si="9"/>
        <v>47.97</v>
      </c>
      <c r="E637" s="11"/>
      <c r="F637" s="9"/>
    </row>
    <row r="638" s="1" customFormat="1" customHeight="1" spans="1:6">
      <c r="A638" s="9" t="str">
        <f>"10292102206"</f>
        <v>10292102206</v>
      </c>
      <c r="B638" s="10">
        <v>42.93</v>
      </c>
      <c r="C638" s="9"/>
      <c r="D638" s="9">
        <f t="shared" si="9"/>
        <v>42.93</v>
      </c>
      <c r="E638" s="11"/>
      <c r="F638" s="9"/>
    </row>
    <row r="639" s="1" customFormat="1" customHeight="1" spans="1:6">
      <c r="A639" s="9" t="str">
        <f>"20272102207"</f>
        <v>20272102207</v>
      </c>
      <c r="B639" s="10">
        <v>42.69</v>
      </c>
      <c r="C639" s="9"/>
      <c r="D639" s="9">
        <f t="shared" si="9"/>
        <v>42.69</v>
      </c>
      <c r="E639" s="11"/>
      <c r="F639" s="9"/>
    </row>
    <row r="640" s="1" customFormat="1" customHeight="1" spans="1:6">
      <c r="A640" s="9" t="str">
        <f>"10362102208"</f>
        <v>10362102208</v>
      </c>
      <c r="B640" s="10">
        <v>41.57</v>
      </c>
      <c r="C640" s="9"/>
      <c r="D640" s="9">
        <f t="shared" si="9"/>
        <v>41.57</v>
      </c>
      <c r="E640" s="11"/>
      <c r="F640" s="9"/>
    </row>
    <row r="641" s="1" customFormat="1" customHeight="1" spans="1:6">
      <c r="A641" s="9" t="str">
        <f>"10362102209"</f>
        <v>10362102209</v>
      </c>
      <c r="B641" s="10">
        <v>0</v>
      </c>
      <c r="C641" s="9"/>
      <c r="D641" s="9">
        <f t="shared" si="9"/>
        <v>0</v>
      </c>
      <c r="E641" s="11"/>
      <c r="F641" s="9" t="s">
        <v>7</v>
      </c>
    </row>
    <row r="642" s="1" customFormat="1" customHeight="1" spans="1:6">
      <c r="A642" s="9" t="str">
        <f>"10242102210"</f>
        <v>10242102210</v>
      </c>
      <c r="B642" s="10">
        <v>36.57</v>
      </c>
      <c r="C642" s="9"/>
      <c r="D642" s="9">
        <f t="shared" si="9"/>
        <v>36.57</v>
      </c>
      <c r="E642" s="11"/>
      <c r="F642" s="9"/>
    </row>
    <row r="643" s="1" customFormat="1" customHeight="1" spans="1:6">
      <c r="A643" s="9" t="str">
        <f>"10362102211"</f>
        <v>10362102211</v>
      </c>
      <c r="B643" s="10">
        <v>36.12</v>
      </c>
      <c r="C643" s="9"/>
      <c r="D643" s="9">
        <f t="shared" ref="D643:D706" si="10">SUM(B643:C643)</f>
        <v>36.12</v>
      </c>
      <c r="E643" s="11"/>
      <c r="F643" s="9"/>
    </row>
    <row r="644" s="1" customFormat="1" customHeight="1" spans="1:6">
      <c r="A644" s="9" t="str">
        <f>"10532102212"</f>
        <v>10532102212</v>
      </c>
      <c r="B644" s="10">
        <v>50.96</v>
      </c>
      <c r="C644" s="9"/>
      <c r="D644" s="9">
        <f t="shared" si="10"/>
        <v>50.96</v>
      </c>
      <c r="E644" s="11"/>
      <c r="F644" s="9"/>
    </row>
    <row r="645" s="1" customFormat="1" customHeight="1" spans="1:6">
      <c r="A645" s="9" t="str">
        <f>"10532102213"</f>
        <v>10532102213</v>
      </c>
      <c r="B645" s="10">
        <v>0</v>
      </c>
      <c r="C645" s="9"/>
      <c r="D645" s="9">
        <f t="shared" si="10"/>
        <v>0</v>
      </c>
      <c r="E645" s="11"/>
      <c r="F645" s="9" t="s">
        <v>7</v>
      </c>
    </row>
    <row r="646" s="1" customFormat="1" customHeight="1" spans="1:6">
      <c r="A646" s="9" t="str">
        <f>"10362102214"</f>
        <v>10362102214</v>
      </c>
      <c r="B646" s="10">
        <v>37.21</v>
      </c>
      <c r="C646" s="9"/>
      <c r="D646" s="9">
        <f t="shared" si="10"/>
        <v>37.21</v>
      </c>
      <c r="E646" s="11"/>
      <c r="F646" s="9"/>
    </row>
    <row r="647" s="1" customFormat="1" customHeight="1" spans="1:6">
      <c r="A647" s="9" t="str">
        <f>"10432102215"</f>
        <v>10432102215</v>
      </c>
      <c r="B647" s="10">
        <v>47.23</v>
      </c>
      <c r="C647" s="9"/>
      <c r="D647" s="9">
        <f t="shared" si="10"/>
        <v>47.23</v>
      </c>
      <c r="E647" s="11"/>
      <c r="F647" s="9"/>
    </row>
    <row r="648" s="1" customFormat="1" customHeight="1" spans="1:6">
      <c r="A648" s="9" t="str">
        <f>"10082102216"</f>
        <v>10082102216</v>
      </c>
      <c r="B648" s="10">
        <v>39.01</v>
      </c>
      <c r="C648" s="9"/>
      <c r="D648" s="9">
        <f t="shared" si="10"/>
        <v>39.01</v>
      </c>
      <c r="E648" s="11"/>
      <c r="F648" s="9"/>
    </row>
    <row r="649" s="1" customFormat="1" customHeight="1" spans="1:6">
      <c r="A649" s="9" t="str">
        <f>"10442102217"</f>
        <v>10442102217</v>
      </c>
      <c r="B649" s="10">
        <v>40.5</v>
      </c>
      <c r="C649" s="9"/>
      <c r="D649" s="9">
        <f t="shared" si="10"/>
        <v>40.5</v>
      </c>
      <c r="E649" s="11"/>
      <c r="F649" s="9"/>
    </row>
    <row r="650" s="1" customFormat="1" customHeight="1" spans="1:6">
      <c r="A650" s="9" t="str">
        <f>"10362102218"</f>
        <v>10362102218</v>
      </c>
      <c r="B650" s="10">
        <v>0</v>
      </c>
      <c r="C650" s="9"/>
      <c r="D650" s="9">
        <f t="shared" si="10"/>
        <v>0</v>
      </c>
      <c r="E650" s="11"/>
      <c r="F650" s="9" t="s">
        <v>7</v>
      </c>
    </row>
    <row r="651" s="1" customFormat="1" customHeight="1" spans="1:6">
      <c r="A651" s="9" t="str">
        <f>"10062102219"</f>
        <v>10062102219</v>
      </c>
      <c r="B651" s="10">
        <v>40.34</v>
      </c>
      <c r="C651" s="9"/>
      <c r="D651" s="9">
        <f t="shared" si="10"/>
        <v>40.34</v>
      </c>
      <c r="E651" s="11"/>
      <c r="F651" s="9"/>
    </row>
    <row r="652" s="1" customFormat="1" customHeight="1" spans="1:6">
      <c r="A652" s="9" t="str">
        <f>"10022102220"</f>
        <v>10022102220</v>
      </c>
      <c r="B652" s="10">
        <v>40.12</v>
      </c>
      <c r="C652" s="9"/>
      <c r="D652" s="9">
        <f t="shared" si="10"/>
        <v>40.12</v>
      </c>
      <c r="E652" s="11"/>
      <c r="F652" s="9"/>
    </row>
    <row r="653" s="1" customFormat="1" customHeight="1" spans="1:6">
      <c r="A653" s="9" t="str">
        <f>"10362102221"</f>
        <v>10362102221</v>
      </c>
      <c r="B653" s="10">
        <v>0</v>
      </c>
      <c r="C653" s="9"/>
      <c r="D653" s="9">
        <f t="shared" si="10"/>
        <v>0</v>
      </c>
      <c r="E653" s="11"/>
      <c r="F653" s="9" t="s">
        <v>7</v>
      </c>
    </row>
    <row r="654" s="1" customFormat="1" customHeight="1" spans="1:6">
      <c r="A654" s="9" t="str">
        <f>"10412102222"</f>
        <v>10412102222</v>
      </c>
      <c r="B654" s="10">
        <v>0</v>
      </c>
      <c r="C654" s="9"/>
      <c r="D654" s="9">
        <f t="shared" si="10"/>
        <v>0</v>
      </c>
      <c r="E654" s="11"/>
      <c r="F654" s="9" t="s">
        <v>7</v>
      </c>
    </row>
    <row r="655" s="1" customFormat="1" customHeight="1" spans="1:6">
      <c r="A655" s="9" t="str">
        <f>"10442102223"</f>
        <v>10442102223</v>
      </c>
      <c r="B655" s="10">
        <v>39.56</v>
      </c>
      <c r="C655" s="9"/>
      <c r="D655" s="9">
        <f t="shared" si="10"/>
        <v>39.56</v>
      </c>
      <c r="E655" s="11"/>
      <c r="F655" s="9"/>
    </row>
    <row r="656" s="1" customFormat="1" customHeight="1" spans="1:6">
      <c r="A656" s="9" t="str">
        <f>"10072102224"</f>
        <v>10072102224</v>
      </c>
      <c r="B656" s="10">
        <v>36.56</v>
      </c>
      <c r="C656" s="9"/>
      <c r="D656" s="9">
        <f t="shared" si="10"/>
        <v>36.56</v>
      </c>
      <c r="E656" s="11"/>
      <c r="F656" s="9"/>
    </row>
    <row r="657" s="1" customFormat="1" customHeight="1" spans="1:6">
      <c r="A657" s="9" t="str">
        <f>"10362102225"</f>
        <v>10362102225</v>
      </c>
      <c r="B657" s="10">
        <v>48.9</v>
      </c>
      <c r="C657" s="9"/>
      <c r="D657" s="9">
        <f t="shared" si="10"/>
        <v>48.9</v>
      </c>
      <c r="E657" s="11"/>
      <c r="F657" s="9"/>
    </row>
    <row r="658" s="1" customFormat="1" customHeight="1" spans="1:6">
      <c r="A658" s="9" t="str">
        <f>"10522102226"</f>
        <v>10522102226</v>
      </c>
      <c r="B658" s="10">
        <v>44.56</v>
      </c>
      <c r="C658" s="9"/>
      <c r="D658" s="9">
        <f t="shared" si="10"/>
        <v>44.56</v>
      </c>
      <c r="E658" s="11"/>
      <c r="F658" s="9"/>
    </row>
    <row r="659" s="1" customFormat="1" customHeight="1" spans="1:6">
      <c r="A659" s="9" t="str">
        <f>"10372102227"</f>
        <v>10372102227</v>
      </c>
      <c r="B659" s="10">
        <v>34.26</v>
      </c>
      <c r="C659" s="9"/>
      <c r="D659" s="9">
        <f t="shared" si="10"/>
        <v>34.26</v>
      </c>
      <c r="E659" s="11"/>
      <c r="F659" s="9"/>
    </row>
    <row r="660" s="1" customFormat="1" customHeight="1" spans="1:6">
      <c r="A660" s="9" t="str">
        <f>"10492102228"</f>
        <v>10492102228</v>
      </c>
      <c r="B660" s="10">
        <v>40.84</v>
      </c>
      <c r="C660" s="9"/>
      <c r="D660" s="9">
        <f t="shared" si="10"/>
        <v>40.84</v>
      </c>
      <c r="E660" s="11"/>
      <c r="F660" s="9"/>
    </row>
    <row r="661" s="1" customFormat="1" customHeight="1" spans="1:6">
      <c r="A661" s="9" t="str">
        <f>"10362102229"</f>
        <v>10362102229</v>
      </c>
      <c r="B661" s="10">
        <v>0</v>
      </c>
      <c r="C661" s="9"/>
      <c r="D661" s="9">
        <f t="shared" si="10"/>
        <v>0</v>
      </c>
      <c r="E661" s="11"/>
      <c r="F661" s="9" t="s">
        <v>7</v>
      </c>
    </row>
    <row r="662" s="1" customFormat="1" customHeight="1" spans="1:6">
      <c r="A662" s="9" t="str">
        <f>"10362102230"</f>
        <v>10362102230</v>
      </c>
      <c r="B662" s="10">
        <v>0</v>
      </c>
      <c r="C662" s="9"/>
      <c r="D662" s="9">
        <f t="shared" si="10"/>
        <v>0</v>
      </c>
      <c r="E662" s="11"/>
      <c r="F662" s="9" t="s">
        <v>7</v>
      </c>
    </row>
    <row r="663" s="1" customFormat="1" customHeight="1" spans="1:6">
      <c r="A663" s="9" t="str">
        <f>"10332102301"</f>
        <v>10332102301</v>
      </c>
      <c r="B663" s="10">
        <v>40.99</v>
      </c>
      <c r="C663" s="9"/>
      <c r="D663" s="9">
        <f t="shared" si="10"/>
        <v>40.99</v>
      </c>
      <c r="E663" s="11"/>
      <c r="F663" s="9"/>
    </row>
    <row r="664" s="1" customFormat="1" customHeight="1" spans="1:6">
      <c r="A664" s="9" t="str">
        <f>"10132102302"</f>
        <v>10132102302</v>
      </c>
      <c r="B664" s="10">
        <v>43.88</v>
      </c>
      <c r="C664" s="9"/>
      <c r="D664" s="9">
        <f t="shared" si="10"/>
        <v>43.88</v>
      </c>
      <c r="E664" s="11"/>
      <c r="F664" s="9"/>
    </row>
    <row r="665" s="1" customFormat="1" customHeight="1" spans="1:6">
      <c r="A665" s="9" t="str">
        <f>"10292102303"</f>
        <v>10292102303</v>
      </c>
      <c r="B665" s="10">
        <v>43</v>
      </c>
      <c r="C665" s="9"/>
      <c r="D665" s="9">
        <f t="shared" si="10"/>
        <v>43</v>
      </c>
      <c r="E665" s="11"/>
      <c r="F665" s="9"/>
    </row>
    <row r="666" s="1" customFormat="1" customHeight="1" spans="1:6">
      <c r="A666" s="9" t="str">
        <f>"10332102304"</f>
        <v>10332102304</v>
      </c>
      <c r="B666" s="10">
        <v>30.79</v>
      </c>
      <c r="C666" s="9"/>
      <c r="D666" s="9">
        <f t="shared" si="10"/>
        <v>30.79</v>
      </c>
      <c r="E666" s="11"/>
      <c r="F666" s="9"/>
    </row>
    <row r="667" s="1" customFormat="1" customHeight="1" spans="1:6">
      <c r="A667" s="9" t="str">
        <f>"10212102305"</f>
        <v>10212102305</v>
      </c>
      <c r="B667" s="10">
        <v>34.46</v>
      </c>
      <c r="C667" s="9"/>
      <c r="D667" s="9">
        <f t="shared" si="10"/>
        <v>34.46</v>
      </c>
      <c r="E667" s="11"/>
      <c r="F667" s="9"/>
    </row>
    <row r="668" s="1" customFormat="1" customHeight="1" spans="1:6">
      <c r="A668" s="9" t="str">
        <f>"10162102306"</f>
        <v>10162102306</v>
      </c>
      <c r="B668" s="10">
        <v>35.81</v>
      </c>
      <c r="C668" s="9"/>
      <c r="D668" s="9">
        <f t="shared" si="10"/>
        <v>35.81</v>
      </c>
      <c r="E668" s="11"/>
      <c r="F668" s="9"/>
    </row>
    <row r="669" s="1" customFormat="1" customHeight="1" spans="1:6">
      <c r="A669" s="9" t="str">
        <f>"10132102307"</f>
        <v>10132102307</v>
      </c>
      <c r="B669" s="10">
        <v>0</v>
      </c>
      <c r="C669" s="9"/>
      <c r="D669" s="9">
        <f t="shared" si="10"/>
        <v>0</v>
      </c>
      <c r="E669" s="11"/>
      <c r="F669" s="9" t="s">
        <v>7</v>
      </c>
    </row>
    <row r="670" s="1" customFormat="1" customHeight="1" spans="1:6">
      <c r="A670" s="9" t="str">
        <f>"10362102308"</f>
        <v>10362102308</v>
      </c>
      <c r="B670" s="10">
        <v>0</v>
      </c>
      <c r="C670" s="9"/>
      <c r="D670" s="9">
        <f t="shared" si="10"/>
        <v>0</v>
      </c>
      <c r="E670" s="11"/>
      <c r="F670" s="9" t="s">
        <v>7</v>
      </c>
    </row>
    <row r="671" s="1" customFormat="1" customHeight="1" spans="1:6">
      <c r="A671" s="9" t="str">
        <f>"10362102309"</f>
        <v>10362102309</v>
      </c>
      <c r="B671" s="10">
        <v>33.68</v>
      </c>
      <c r="C671" s="9"/>
      <c r="D671" s="9">
        <f t="shared" si="10"/>
        <v>33.68</v>
      </c>
      <c r="E671" s="11"/>
      <c r="F671" s="9"/>
    </row>
    <row r="672" s="1" customFormat="1" customHeight="1" spans="1:6">
      <c r="A672" s="9" t="str">
        <f>"10362102310"</f>
        <v>10362102310</v>
      </c>
      <c r="B672" s="10">
        <v>41.05</v>
      </c>
      <c r="C672" s="9"/>
      <c r="D672" s="9">
        <f t="shared" si="10"/>
        <v>41.05</v>
      </c>
      <c r="E672" s="11"/>
      <c r="F672" s="9"/>
    </row>
    <row r="673" s="1" customFormat="1" customHeight="1" spans="1:6">
      <c r="A673" s="9" t="str">
        <f>"10272102311"</f>
        <v>10272102311</v>
      </c>
      <c r="B673" s="10">
        <v>49.87</v>
      </c>
      <c r="C673" s="9"/>
      <c r="D673" s="9">
        <f t="shared" si="10"/>
        <v>49.87</v>
      </c>
      <c r="E673" s="11"/>
      <c r="F673" s="9"/>
    </row>
    <row r="674" s="1" customFormat="1" customHeight="1" spans="1:6">
      <c r="A674" s="9" t="str">
        <f>"10212102312"</f>
        <v>10212102312</v>
      </c>
      <c r="B674" s="10">
        <v>42.27</v>
      </c>
      <c r="C674" s="9"/>
      <c r="D674" s="9">
        <f t="shared" si="10"/>
        <v>42.27</v>
      </c>
      <c r="E674" s="11"/>
      <c r="F674" s="9"/>
    </row>
    <row r="675" s="1" customFormat="1" customHeight="1" spans="1:6">
      <c r="A675" s="9" t="str">
        <f>"10302102313"</f>
        <v>10302102313</v>
      </c>
      <c r="B675" s="10">
        <v>30.51</v>
      </c>
      <c r="C675" s="9"/>
      <c r="D675" s="9">
        <f t="shared" si="10"/>
        <v>30.51</v>
      </c>
      <c r="E675" s="11"/>
      <c r="F675" s="9"/>
    </row>
    <row r="676" s="1" customFormat="1" customHeight="1" spans="1:6">
      <c r="A676" s="9" t="str">
        <f>"10402102314"</f>
        <v>10402102314</v>
      </c>
      <c r="B676" s="10">
        <v>34.13</v>
      </c>
      <c r="C676" s="9"/>
      <c r="D676" s="9">
        <f t="shared" si="10"/>
        <v>34.13</v>
      </c>
      <c r="E676" s="11"/>
      <c r="F676" s="9"/>
    </row>
    <row r="677" s="1" customFormat="1" customHeight="1" spans="1:6">
      <c r="A677" s="9" t="str">
        <f>"10512102315"</f>
        <v>10512102315</v>
      </c>
      <c r="B677" s="10">
        <v>39.08</v>
      </c>
      <c r="C677" s="9"/>
      <c r="D677" s="9">
        <f t="shared" si="10"/>
        <v>39.08</v>
      </c>
      <c r="E677" s="11"/>
      <c r="F677" s="9"/>
    </row>
    <row r="678" s="1" customFormat="1" customHeight="1" spans="1:6">
      <c r="A678" s="9" t="str">
        <f>"10362102316"</f>
        <v>10362102316</v>
      </c>
      <c r="B678" s="10">
        <v>30.66</v>
      </c>
      <c r="C678" s="9"/>
      <c r="D678" s="9">
        <f t="shared" si="10"/>
        <v>30.66</v>
      </c>
      <c r="E678" s="11"/>
      <c r="F678" s="9"/>
    </row>
    <row r="679" s="1" customFormat="1" customHeight="1" spans="1:6">
      <c r="A679" s="9" t="str">
        <f>"10402102317"</f>
        <v>10402102317</v>
      </c>
      <c r="B679" s="10">
        <v>0</v>
      </c>
      <c r="C679" s="9"/>
      <c r="D679" s="9">
        <f t="shared" si="10"/>
        <v>0</v>
      </c>
      <c r="E679" s="11"/>
      <c r="F679" s="9" t="s">
        <v>7</v>
      </c>
    </row>
    <row r="680" s="1" customFormat="1" customHeight="1" spans="1:6">
      <c r="A680" s="9" t="str">
        <f>"10042102318"</f>
        <v>10042102318</v>
      </c>
      <c r="B680" s="10">
        <v>0</v>
      </c>
      <c r="C680" s="9"/>
      <c r="D680" s="9">
        <f t="shared" si="10"/>
        <v>0</v>
      </c>
      <c r="E680" s="11"/>
      <c r="F680" s="9" t="s">
        <v>7</v>
      </c>
    </row>
    <row r="681" s="1" customFormat="1" customHeight="1" spans="1:6">
      <c r="A681" s="9" t="str">
        <f>"10532102319"</f>
        <v>10532102319</v>
      </c>
      <c r="B681" s="10">
        <v>42.17</v>
      </c>
      <c r="C681" s="9"/>
      <c r="D681" s="9">
        <f t="shared" si="10"/>
        <v>42.17</v>
      </c>
      <c r="E681" s="11"/>
      <c r="F681" s="9"/>
    </row>
    <row r="682" s="1" customFormat="1" customHeight="1" spans="1:6">
      <c r="A682" s="9" t="str">
        <f>"10142102320"</f>
        <v>10142102320</v>
      </c>
      <c r="B682" s="10">
        <v>61.04</v>
      </c>
      <c r="C682" s="9"/>
      <c r="D682" s="9">
        <f t="shared" si="10"/>
        <v>61.04</v>
      </c>
      <c r="E682" s="11"/>
      <c r="F682" s="9"/>
    </row>
    <row r="683" s="1" customFormat="1" customHeight="1" spans="1:6">
      <c r="A683" s="9" t="str">
        <f>"10422102321"</f>
        <v>10422102321</v>
      </c>
      <c r="B683" s="10">
        <v>0</v>
      </c>
      <c r="C683" s="9"/>
      <c r="D683" s="9">
        <f t="shared" si="10"/>
        <v>0</v>
      </c>
      <c r="E683" s="11"/>
      <c r="F683" s="9" t="s">
        <v>7</v>
      </c>
    </row>
    <row r="684" s="1" customFormat="1" customHeight="1" spans="1:6">
      <c r="A684" s="9" t="str">
        <f>"10362102322"</f>
        <v>10362102322</v>
      </c>
      <c r="B684" s="10">
        <v>30</v>
      </c>
      <c r="C684" s="9"/>
      <c r="D684" s="9">
        <f t="shared" si="10"/>
        <v>30</v>
      </c>
      <c r="E684" s="11"/>
      <c r="F684" s="9"/>
    </row>
    <row r="685" s="1" customFormat="1" customHeight="1" spans="1:6">
      <c r="A685" s="9" t="str">
        <f>"10082102323"</f>
        <v>10082102323</v>
      </c>
      <c r="B685" s="10">
        <v>43.03</v>
      </c>
      <c r="C685" s="9"/>
      <c r="D685" s="9">
        <f t="shared" si="10"/>
        <v>43.03</v>
      </c>
      <c r="E685" s="11"/>
      <c r="F685" s="9"/>
    </row>
    <row r="686" s="1" customFormat="1" customHeight="1" spans="1:6">
      <c r="A686" s="9" t="str">
        <f>"10472102324"</f>
        <v>10472102324</v>
      </c>
      <c r="B686" s="10">
        <v>40.61</v>
      </c>
      <c r="C686" s="9"/>
      <c r="D686" s="9">
        <f t="shared" si="10"/>
        <v>40.61</v>
      </c>
      <c r="E686" s="11"/>
      <c r="F686" s="9"/>
    </row>
    <row r="687" s="1" customFormat="1" customHeight="1" spans="1:6">
      <c r="A687" s="9" t="str">
        <f>"10072102325"</f>
        <v>10072102325</v>
      </c>
      <c r="B687" s="10">
        <v>0</v>
      </c>
      <c r="C687" s="9"/>
      <c r="D687" s="9">
        <f t="shared" si="10"/>
        <v>0</v>
      </c>
      <c r="E687" s="11"/>
      <c r="F687" s="9" t="s">
        <v>7</v>
      </c>
    </row>
    <row r="688" s="1" customFormat="1" customHeight="1" spans="1:6">
      <c r="A688" s="9" t="str">
        <f>"10432102326"</f>
        <v>10432102326</v>
      </c>
      <c r="B688" s="10">
        <v>44.98</v>
      </c>
      <c r="C688" s="9"/>
      <c r="D688" s="9">
        <f t="shared" si="10"/>
        <v>44.98</v>
      </c>
      <c r="E688" s="11"/>
      <c r="F688" s="9"/>
    </row>
    <row r="689" s="1" customFormat="1" customHeight="1" spans="1:6">
      <c r="A689" s="9" t="str">
        <f>"10112102327"</f>
        <v>10112102327</v>
      </c>
      <c r="B689" s="10">
        <v>39.33</v>
      </c>
      <c r="C689" s="9"/>
      <c r="D689" s="9">
        <f t="shared" si="10"/>
        <v>39.33</v>
      </c>
      <c r="E689" s="11"/>
      <c r="F689" s="9"/>
    </row>
    <row r="690" s="1" customFormat="1" customHeight="1" spans="1:6">
      <c r="A690" s="9" t="str">
        <f>"10162102328"</f>
        <v>10162102328</v>
      </c>
      <c r="B690" s="10">
        <v>0</v>
      </c>
      <c r="C690" s="9"/>
      <c r="D690" s="9">
        <f t="shared" si="10"/>
        <v>0</v>
      </c>
      <c r="E690" s="11"/>
      <c r="F690" s="9" t="s">
        <v>7</v>
      </c>
    </row>
    <row r="691" s="1" customFormat="1" customHeight="1" spans="1:6">
      <c r="A691" s="9" t="str">
        <f>"10122102329"</f>
        <v>10122102329</v>
      </c>
      <c r="B691" s="10">
        <v>45.33</v>
      </c>
      <c r="C691" s="9"/>
      <c r="D691" s="9">
        <f t="shared" si="10"/>
        <v>45.33</v>
      </c>
      <c r="E691" s="11"/>
      <c r="F691" s="9"/>
    </row>
    <row r="692" s="1" customFormat="1" customHeight="1" spans="1:6">
      <c r="A692" s="9" t="str">
        <f>"10532102330"</f>
        <v>10532102330</v>
      </c>
      <c r="B692" s="10">
        <v>0</v>
      </c>
      <c r="C692" s="9"/>
      <c r="D692" s="9">
        <f t="shared" si="10"/>
        <v>0</v>
      </c>
      <c r="E692" s="11"/>
      <c r="F692" s="9" t="s">
        <v>7</v>
      </c>
    </row>
    <row r="693" s="1" customFormat="1" customHeight="1" spans="1:6">
      <c r="A693" s="9" t="str">
        <f>"10472102401"</f>
        <v>10472102401</v>
      </c>
      <c r="B693" s="10">
        <v>47.55</v>
      </c>
      <c r="C693" s="9"/>
      <c r="D693" s="9">
        <f t="shared" si="10"/>
        <v>47.55</v>
      </c>
      <c r="E693" s="11"/>
      <c r="F693" s="9"/>
    </row>
    <row r="694" s="1" customFormat="1" customHeight="1" spans="1:6">
      <c r="A694" s="9" t="str">
        <f>"10532102402"</f>
        <v>10532102402</v>
      </c>
      <c r="B694" s="10">
        <v>36.08</v>
      </c>
      <c r="C694" s="9"/>
      <c r="D694" s="9">
        <f t="shared" si="10"/>
        <v>36.08</v>
      </c>
      <c r="E694" s="11"/>
      <c r="F694" s="9"/>
    </row>
    <row r="695" s="1" customFormat="1" customHeight="1" spans="1:6">
      <c r="A695" s="9" t="str">
        <f>"10462102403"</f>
        <v>10462102403</v>
      </c>
      <c r="B695" s="10">
        <v>0</v>
      </c>
      <c r="C695" s="9"/>
      <c r="D695" s="9">
        <f t="shared" si="10"/>
        <v>0</v>
      </c>
      <c r="E695" s="11"/>
      <c r="F695" s="9" t="s">
        <v>7</v>
      </c>
    </row>
    <row r="696" s="1" customFormat="1" customHeight="1" spans="1:6">
      <c r="A696" s="9" t="str">
        <f>"10432102404"</f>
        <v>10432102404</v>
      </c>
      <c r="B696" s="10">
        <v>0</v>
      </c>
      <c r="C696" s="9"/>
      <c r="D696" s="9">
        <f t="shared" si="10"/>
        <v>0</v>
      </c>
      <c r="E696" s="11"/>
      <c r="F696" s="9" t="s">
        <v>7</v>
      </c>
    </row>
    <row r="697" s="1" customFormat="1" customHeight="1" spans="1:6">
      <c r="A697" s="9" t="str">
        <f>"10142102405"</f>
        <v>10142102405</v>
      </c>
      <c r="B697" s="10">
        <v>35.66</v>
      </c>
      <c r="C697" s="9"/>
      <c r="D697" s="9">
        <f t="shared" si="10"/>
        <v>35.66</v>
      </c>
      <c r="E697" s="11"/>
      <c r="F697" s="9"/>
    </row>
    <row r="698" s="1" customFormat="1" customHeight="1" spans="1:6">
      <c r="A698" s="9" t="str">
        <f>"10232102406"</f>
        <v>10232102406</v>
      </c>
      <c r="B698" s="10">
        <v>35.8</v>
      </c>
      <c r="C698" s="9"/>
      <c r="D698" s="9">
        <f t="shared" si="10"/>
        <v>35.8</v>
      </c>
      <c r="E698" s="11"/>
      <c r="F698" s="9"/>
    </row>
    <row r="699" s="1" customFormat="1" customHeight="1" spans="1:6">
      <c r="A699" s="9" t="str">
        <f>"10502102407"</f>
        <v>10502102407</v>
      </c>
      <c r="B699" s="10">
        <v>0</v>
      </c>
      <c r="C699" s="9"/>
      <c r="D699" s="9">
        <f t="shared" si="10"/>
        <v>0</v>
      </c>
      <c r="E699" s="11"/>
      <c r="F699" s="9" t="s">
        <v>7</v>
      </c>
    </row>
    <row r="700" s="1" customFormat="1" customHeight="1" spans="1:6">
      <c r="A700" s="9" t="str">
        <f>"10362102408"</f>
        <v>10362102408</v>
      </c>
      <c r="B700" s="10">
        <v>29.84</v>
      </c>
      <c r="C700" s="9"/>
      <c r="D700" s="9">
        <f t="shared" si="10"/>
        <v>29.84</v>
      </c>
      <c r="E700" s="11"/>
      <c r="F700" s="9"/>
    </row>
    <row r="701" s="1" customFormat="1" customHeight="1" spans="1:6">
      <c r="A701" s="9" t="str">
        <f>"10382102409"</f>
        <v>10382102409</v>
      </c>
      <c r="B701" s="10">
        <v>38.84</v>
      </c>
      <c r="C701" s="9"/>
      <c r="D701" s="9">
        <f t="shared" si="10"/>
        <v>38.84</v>
      </c>
      <c r="E701" s="11"/>
      <c r="F701" s="9"/>
    </row>
    <row r="702" s="1" customFormat="1" customHeight="1" spans="1:6">
      <c r="A702" s="9" t="str">
        <f>"10382102410"</f>
        <v>10382102410</v>
      </c>
      <c r="B702" s="10">
        <v>0</v>
      </c>
      <c r="C702" s="9"/>
      <c r="D702" s="9">
        <f t="shared" si="10"/>
        <v>0</v>
      </c>
      <c r="E702" s="11"/>
      <c r="F702" s="9" t="s">
        <v>7</v>
      </c>
    </row>
    <row r="703" s="1" customFormat="1" customHeight="1" spans="1:6">
      <c r="A703" s="9" t="str">
        <f>"10322102411"</f>
        <v>10322102411</v>
      </c>
      <c r="B703" s="10">
        <v>41.22</v>
      </c>
      <c r="C703" s="9"/>
      <c r="D703" s="9">
        <f t="shared" si="10"/>
        <v>41.22</v>
      </c>
      <c r="E703" s="11"/>
      <c r="F703" s="9"/>
    </row>
    <row r="704" s="1" customFormat="1" customHeight="1" spans="1:6">
      <c r="A704" s="9" t="str">
        <f>"10122102412"</f>
        <v>10122102412</v>
      </c>
      <c r="B704" s="10">
        <v>47.55</v>
      </c>
      <c r="C704" s="9"/>
      <c r="D704" s="9">
        <f t="shared" si="10"/>
        <v>47.55</v>
      </c>
      <c r="E704" s="11"/>
      <c r="F704" s="9"/>
    </row>
    <row r="705" s="1" customFormat="1" customHeight="1" spans="1:6">
      <c r="A705" s="9" t="str">
        <f>"10242102413"</f>
        <v>10242102413</v>
      </c>
      <c r="B705" s="10">
        <v>0</v>
      </c>
      <c r="C705" s="9"/>
      <c r="D705" s="9">
        <f t="shared" si="10"/>
        <v>0</v>
      </c>
      <c r="E705" s="11"/>
      <c r="F705" s="9" t="s">
        <v>7</v>
      </c>
    </row>
    <row r="706" s="1" customFormat="1" customHeight="1" spans="1:6">
      <c r="A706" s="9" t="str">
        <f>"10302102414"</f>
        <v>10302102414</v>
      </c>
      <c r="B706" s="10">
        <v>0</v>
      </c>
      <c r="C706" s="9"/>
      <c r="D706" s="9">
        <f t="shared" si="10"/>
        <v>0</v>
      </c>
      <c r="E706" s="11"/>
      <c r="F706" s="9" t="s">
        <v>7</v>
      </c>
    </row>
    <row r="707" s="1" customFormat="1" customHeight="1" spans="1:6">
      <c r="A707" s="9" t="str">
        <f>"10362102415"</f>
        <v>10362102415</v>
      </c>
      <c r="B707" s="10">
        <v>0</v>
      </c>
      <c r="C707" s="9"/>
      <c r="D707" s="9">
        <f t="shared" ref="D707:D770" si="11">SUM(B707:C707)</f>
        <v>0</v>
      </c>
      <c r="E707" s="11"/>
      <c r="F707" s="9" t="s">
        <v>7</v>
      </c>
    </row>
    <row r="708" s="1" customFormat="1" customHeight="1" spans="1:6">
      <c r="A708" s="9" t="str">
        <f>"20272102416"</f>
        <v>20272102416</v>
      </c>
      <c r="B708" s="10">
        <v>41.55</v>
      </c>
      <c r="C708" s="9"/>
      <c r="D708" s="9">
        <f t="shared" si="11"/>
        <v>41.55</v>
      </c>
      <c r="E708" s="11"/>
      <c r="F708" s="9"/>
    </row>
    <row r="709" s="1" customFormat="1" customHeight="1" spans="1:6">
      <c r="A709" s="9" t="str">
        <f>"10512102417"</f>
        <v>10512102417</v>
      </c>
      <c r="B709" s="10">
        <v>37.89</v>
      </c>
      <c r="C709" s="9"/>
      <c r="D709" s="9">
        <f t="shared" si="11"/>
        <v>37.89</v>
      </c>
      <c r="E709" s="11"/>
      <c r="F709" s="9"/>
    </row>
    <row r="710" s="1" customFormat="1" customHeight="1" spans="1:6">
      <c r="A710" s="9" t="str">
        <f>"10362102418"</f>
        <v>10362102418</v>
      </c>
      <c r="B710" s="10">
        <v>36.67</v>
      </c>
      <c r="C710" s="9"/>
      <c r="D710" s="9">
        <f t="shared" si="11"/>
        <v>36.67</v>
      </c>
      <c r="E710" s="11"/>
      <c r="F710" s="9"/>
    </row>
    <row r="711" s="1" customFormat="1" customHeight="1" spans="1:6">
      <c r="A711" s="9" t="str">
        <f>"10212102419"</f>
        <v>10212102419</v>
      </c>
      <c r="B711" s="10">
        <v>46.33</v>
      </c>
      <c r="C711" s="9"/>
      <c r="D711" s="9">
        <f t="shared" si="11"/>
        <v>46.33</v>
      </c>
      <c r="E711" s="11"/>
      <c r="F711" s="9"/>
    </row>
    <row r="712" s="1" customFormat="1" customHeight="1" spans="1:6">
      <c r="A712" s="9" t="str">
        <f>"10132102420"</f>
        <v>10132102420</v>
      </c>
      <c r="B712" s="10">
        <v>40.01</v>
      </c>
      <c r="C712" s="9"/>
      <c r="D712" s="9">
        <f t="shared" si="11"/>
        <v>40.01</v>
      </c>
      <c r="E712" s="11"/>
      <c r="F712" s="9"/>
    </row>
    <row r="713" s="1" customFormat="1" customHeight="1" spans="1:6">
      <c r="A713" s="9" t="str">
        <f>"10362102421"</f>
        <v>10362102421</v>
      </c>
      <c r="B713" s="10">
        <v>0</v>
      </c>
      <c r="C713" s="9"/>
      <c r="D713" s="9">
        <f t="shared" si="11"/>
        <v>0</v>
      </c>
      <c r="E713" s="11"/>
      <c r="F713" s="9" t="s">
        <v>7</v>
      </c>
    </row>
    <row r="714" s="1" customFormat="1" customHeight="1" spans="1:6">
      <c r="A714" s="9" t="str">
        <f>"10432102422"</f>
        <v>10432102422</v>
      </c>
      <c r="B714" s="10">
        <v>34.04</v>
      </c>
      <c r="C714" s="9"/>
      <c r="D714" s="9">
        <f t="shared" si="11"/>
        <v>34.04</v>
      </c>
      <c r="E714" s="11"/>
      <c r="F714" s="9"/>
    </row>
    <row r="715" s="1" customFormat="1" customHeight="1" spans="1:6">
      <c r="A715" s="9" t="str">
        <f>"10072102423"</f>
        <v>10072102423</v>
      </c>
      <c r="B715" s="10">
        <v>0</v>
      </c>
      <c r="C715" s="9"/>
      <c r="D715" s="9">
        <f t="shared" si="11"/>
        <v>0</v>
      </c>
      <c r="E715" s="11"/>
      <c r="F715" s="9" t="s">
        <v>7</v>
      </c>
    </row>
    <row r="716" s="1" customFormat="1" customHeight="1" spans="1:6">
      <c r="A716" s="9" t="str">
        <f>"10532102424"</f>
        <v>10532102424</v>
      </c>
      <c r="B716" s="10">
        <v>0</v>
      </c>
      <c r="C716" s="9"/>
      <c r="D716" s="9">
        <f t="shared" si="11"/>
        <v>0</v>
      </c>
      <c r="E716" s="11"/>
      <c r="F716" s="9" t="s">
        <v>7</v>
      </c>
    </row>
    <row r="717" s="1" customFormat="1" customHeight="1" spans="1:6">
      <c r="A717" s="9" t="str">
        <f>"10362102425"</f>
        <v>10362102425</v>
      </c>
      <c r="B717" s="10">
        <v>36.84</v>
      </c>
      <c r="C717" s="9"/>
      <c r="D717" s="9">
        <f t="shared" si="11"/>
        <v>36.84</v>
      </c>
      <c r="E717" s="11"/>
      <c r="F717" s="9"/>
    </row>
    <row r="718" s="1" customFormat="1" customHeight="1" spans="1:6">
      <c r="A718" s="9" t="str">
        <f>"10522102426"</f>
        <v>10522102426</v>
      </c>
      <c r="B718" s="10">
        <v>49.59</v>
      </c>
      <c r="C718" s="9"/>
      <c r="D718" s="9">
        <f t="shared" si="11"/>
        <v>49.59</v>
      </c>
      <c r="E718" s="11"/>
      <c r="F718" s="9"/>
    </row>
    <row r="719" s="1" customFormat="1" customHeight="1" spans="1:6">
      <c r="A719" s="9" t="str">
        <f>"10362102427"</f>
        <v>10362102427</v>
      </c>
      <c r="B719" s="10">
        <v>45.83</v>
      </c>
      <c r="C719" s="9"/>
      <c r="D719" s="9">
        <f t="shared" si="11"/>
        <v>45.83</v>
      </c>
      <c r="E719" s="11"/>
      <c r="F719" s="9"/>
    </row>
    <row r="720" s="1" customFormat="1" customHeight="1" spans="1:6">
      <c r="A720" s="9" t="str">
        <f>"10302102428"</f>
        <v>10302102428</v>
      </c>
      <c r="B720" s="10">
        <v>35.06</v>
      </c>
      <c r="C720" s="9"/>
      <c r="D720" s="9">
        <f t="shared" si="11"/>
        <v>35.06</v>
      </c>
      <c r="E720" s="11"/>
      <c r="F720" s="9"/>
    </row>
    <row r="721" s="1" customFormat="1" customHeight="1" spans="1:6">
      <c r="A721" s="9" t="str">
        <f>"10362102429"</f>
        <v>10362102429</v>
      </c>
      <c r="B721" s="10">
        <v>0</v>
      </c>
      <c r="C721" s="9"/>
      <c r="D721" s="9">
        <f t="shared" si="11"/>
        <v>0</v>
      </c>
      <c r="E721" s="11"/>
      <c r="F721" s="9" t="s">
        <v>7</v>
      </c>
    </row>
    <row r="722" s="1" customFormat="1" customHeight="1" spans="1:6">
      <c r="A722" s="9" t="str">
        <f>"10362102430"</f>
        <v>10362102430</v>
      </c>
      <c r="B722" s="10">
        <v>0</v>
      </c>
      <c r="C722" s="9"/>
      <c r="D722" s="9">
        <f t="shared" si="11"/>
        <v>0</v>
      </c>
      <c r="E722" s="11"/>
      <c r="F722" s="9" t="s">
        <v>7</v>
      </c>
    </row>
    <row r="723" s="1" customFormat="1" customHeight="1" spans="1:6">
      <c r="A723" s="9" t="str">
        <f>"10292102501"</f>
        <v>10292102501</v>
      </c>
      <c r="B723" s="10">
        <v>40.06</v>
      </c>
      <c r="C723" s="9"/>
      <c r="D723" s="9">
        <f t="shared" si="11"/>
        <v>40.06</v>
      </c>
      <c r="E723" s="11"/>
      <c r="F723" s="9"/>
    </row>
    <row r="724" s="1" customFormat="1" customHeight="1" spans="1:6">
      <c r="A724" s="9" t="str">
        <f>"10302102502"</f>
        <v>10302102502</v>
      </c>
      <c r="B724" s="10">
        <v>50.72</v>
      </c>
      <c r="C724" s="9"/>
      <c r="D724" s="9">
        <f t="shared" si="11"/>
        <v>50.72</v>
      </c>
      <c r="E724" s="11"/>
      <c r="F724" s="9"/>
    </row>
    <row r="725" s="1" customFormat="1" customHeight="1" spans="1:6">
      <c r="A725" s="9" t="str">
        <f>"10182102503"</f>
        <v>10182102503</v>
      </c>
      <c r="B725" s="10">
        <v>0</v>
      </c>
      <c r="C725" s="9"/>
      <c r="D725" s="9">
        <f t="shared" si="11"/>
        <v>0</v>
      </c>
      <c r="E725" s="11"/>
      <c r="F725" s="9" t="s">
        <v>7</v>
      </c>
    </row>
    <row r="726" s="1" customFormat="1" customHeight="1" spans="1:6">
      <c r="A726" s="9" t="str">
        <f>"10362102504"</f>
        <v>10362102504</v>
      </c>
      <c r="B726" s="10">
        <v>0</v>
      </c>
      <c r="C726" s="9"/>
      <c r="D726" s="9">
        <f t="shared" si="11"/>
        <v>0</v>
      </c>
      <c r="E726" s="11"/>
      <c r="F726" s="9" t="s">
        <v>7</v>
      </c>
    </row>
    <row r="727" s="1" customFormat="1" customHeight="1" spans="1:6">
      <c r="A727" s="9" t="str">
        <f>"10342102505"</f>
        <v>10342102505</v>
      </c>
      <c r="B727" s="10">
        <v>34.97</v>
      </c>
      <c r="C727" s="9"/>
      <c r="D727" s="9">
        <f t="shared" si="11"/>
        <v>34.97</v>
      </c>
      <c r="E727" s="11"/>
      <c r="F727" s="9"/>
    </row>
    <row r="728" s="1" customFormat="1" customHeight="1" spans="1:6">
      <c r="A728" s="9" t="str">
        <f>"10212102506"</f>
        <v>10212102506</v>
      </c>
      <c r="B728" s="10">
        <v>36.26</v>
      </c>
      <c r="C728" s="9"/>
      <c r="D728" s="9">
        <f t="shared" si="11"/>
        <v>36.26</v>
      </c>
      <c r="E728" s="11"/>
      <c r="F728" s="9"/>
    </row>
    <row r="729" s="1" customFormat="1" customHeight="1" spans="1:6">
      <c r="A729" s="9" t="str">
        <f>"10532102507"</f>
        <v>10532102507</v>
      </c>
      <c r="B729" s="10">
        <v>42.52</v>
      </c>
      <c r="C729" s="9"/>
      <c r="D729" s="9">
        <f t="shared" si="11"/>
        <v>42.52</v>
      </c>
      <c r="E729" s="11"/>
      <c r="F729" s="9"/>
    </row>
    <row r="730" s="1" customFormat="1" customHeight="1" spans="1:6">
      <c r="A730" s="9" t="str">
        <f>"10362102508"</f>
        <v>10362102508</v>
      </c>
      <c r="B730" s="10">
        <v>39.44</v>
      </c>
      <c r="C730" s="9"/>
      <c r="D730" s="9">
        <f t="shared" si="11"/>
        <v>39.44</v>
      </c>
      <c r="E730" s="11"/>
      <c r="F730" s="9"/>
    </row>
    <row r="731" s="1" customFormat="1" customHeight="1" spans="1:6">
      <c r="A731" s="9" t="str">
        <f>"10362102509"</f>
        <v>10362102509</v>
      </c>
      <c r="B731" s="10">
        <v>41.15</v>
      </c>
      <c r="C731" s="9"/>
      <c r="D731" s="9">
        <f t="shared" si="11"/>
        <v>41.15</v>
      </c>
      <c r="E731" s="11"/>
      <c r="F731" s="9"/>
    </row>
    <row r="732" s="1" customFormat="1" customHeight="1" spans="1:6">
      <c r="A732" s="9" t="str">
        <f>"10212102510"</f>
        <v>10212102510</v>
      </c>
      <c r="B732" s="10">
        <v>39.21</v>
      </c>
      <c r="C732" s="9"/>
      <c r="D732" s="9">
        <f t="shared" si="11"/>
        <v>39.21</v>
      </c>
      <c r="E732" s="11"/>
      <c r="F732" s="9"/>
    </row>
    <row r="733" s="1" customFormat="1" customHeight="1" spans="1:6">
      <c r="A733" s="9" t="str">
        <f>"10302102511"</f>
        <v>10302102511</v>
      </c>
      <c r="B733" s="10">
        <v>38.73</v>
      </c>
      <c r="C733" s="9"/>
      <c r="D733" s="9">
        <f t="shared" si="11"/>
        <v>38.73</v>
      </c>
      <c r="E733" s="11"/>
      <c r="F733" s="9"/>
    </row>
    <row r="734" s="1" customFormat="1" customHeight="1" spans="1:6">
      <c r="A734" s="9" t="str">
        <f>"10362102512"</f>
        <v>10362102512</v>
      </c>
      <c r="B734" s="10">
        <v>40.01</v>
      </c>
      <c r="C734" s="9"/>
      <c r="D734" s="9">
        <f t="shared" si="11"/>
        <v>40.01</v>
      </c>
      <c r="E734" s="11"/>
      <c r="F734" s="9"/>
    </row>
    <row r="735" s="1" customFormat="1" customHeight="1" spans="1:6">
      <c r="A735" s="9" t="str">
        <f>"10412102513"</f>
        <v>10412102513</v>
      </c>
      <c r="B735" s="10">
        <v>47.63</v>
      </c>
      <c r="C735" s="9"/>
      <c r="D735" s="9">
        <f t="shared" si="11"/>
        <v>47.63</v>
      </c>
      <c r="E735" s="11"/>
      <c r="F735" s="9"/>
    </row>
    <row r="736" s="1" customFormat="1" customHeight="1" spans="1:6">
      <c r="A736" s="9" t="str">
        <f>"10092102514"</f>
        <v>10092102514</v>
      </c>
      <c r="B736" s="10">
        <v>41.4</v>
      </c>
      <c r="C736" s="9"/>
      <c r="D736" s="9">
        <f t="shared" si="11"/>
        <v>41.4</v>
      </c>
      <c r="E736" s="11"/>
      <c r="F736" s="9"/>
    </row>
    <row r="737" s="1" customFormat="1" customHeight="1" spans="1:6">
      <c r="A737" s="9" t="str">
        <f>"10182102515"</f>
        <v>10182102515</v>
      </c>
      <c r="B737" s="10">
        <v>34.12</v>
      </c>
      <c r="C737" s="9"/>
      <c r="D737" s="9">
        <f t="shared" si="11"/>
        <v>34.12</v>
      </c>
      <c r="E737" s="11"/>
      <c r="F737" s="9"/>
    </row>
    <row r="738" s="1" customFormat="1" customHeight="1" spans="1:6">
      <c r="A738" s="9" t="str">
        <f>"10402102516"</f>
        <v>10402102516</v>
      </c>
      <c r="B738" s="10">
        <v>43.04</v>
      </c>
      <c r="C738" s="9"/>
      <c r="D738" s="9">
        <f t="shared" si="11"/>
        <v>43.04</v>
      </c>
      <c r="E738" s="11"/>
      <c r="F738" s="9"/>
    </row>
    <row r="739" s="1" customFormat="1" customHeight="1" spans="1:6">
      <c r="A739" s="9" t="str">
        <f>"10282102517"</f>
        <v>10282102517</v>
      </c>
      <c r="B739" s="10">
        <v>0</v>
      </c>
      <c r="C739" s="9"/>
      <c r="D739" s="9">
        <f t="shared" si="11"/>
        <v>0</v>
      </c>
      <c r="E739" s="11"/>
      <c r="F739" s="9" t="s">
        <v>7</v>
      </c>
    </row>
    <row r="740" s="1" customFormat="1" customHeight="1" spans="1:6">
      <c r="A740" s="9" t="str">
        <f>"10112102518"</f>
        <v>10112102518</v>
      </c>
      <c r="B740" s="10">
        <v>48.76</v>
      </c>
      <c r="C740" s="9"/>
      <c r="D740" s="9">
        <f t="shared" si="11"/>
        <v>48.76</v>
      </c>
      <c r="E740" s="11"/>
      <c r="F740" s="9"/>
    </row>
    <row r="741" s="1" customFormat="1" customHeight="1" spans="1:6">
      <c r="A741" s="9" t="str">
        <f>"10362102519"</f>
        <v>10362102519</v>
      </c>
      <c r="B741" s="10">
        <v>36.3</v>
      </c>
      <c r="C741" s="9"/>
      <c r="D741" s="9">
        <f t="shared" si="11"/>
        <v>36.3</v>
      </c>
      <c r="E741" s="11"/>
      <c r="F741" s="9"/>
    </row>
    <row r="742" s="1" customFormat="1" customHeight="1" spans="1:6">
      <c r="A742" s="9" t="str">
        <f>"10362102520"</f>
        <v>10362102520</v>
      </c>
      <c r="B742" s="10">
        <v>41.02</v>
      </c>
      <c r="C742" s="9"/>
      <c r="D742" s="9">
        <f t="shared" si="11"/>
        <v>41.02</v>
      </c>
      <c r="E742" s="11"/>
      <c r="F742" s="9"/>
    </row>
    <row r="743" s="1" customFormat="1" customHeight="1" spans="1:6">
      <c r="A743" s="9" t="str">
        <f>"10362102521"</f>
        <v>10362102521</v>
      </c>
      <c r="B743" s="10">
        <v>0</v>
      </c>
      <c r="C743" s="9"/>
      <c r="D743" s="9">
        <f t="shared" si="11"/>
        <v>0</v>
      </c>
      <c r="E743" s="11"/>
      <c r="F743" s="9" t="s">
        <v>7</v>
      </c>
    </row>
    <row r="744" s="1" customFormat="1" customHeight="1" spans="1:6">
      <c r="A744" s="9" t="str">
        <f>"10362102522"</f>
        <v>10362102522</v>
      </c>
      <c r="B744" s="10">
        <v>38.4</v>
      </c>
      <c r="C744" s="9"/>
      <c r="D744" s="9">
        <f t="shared" si="11"/>
        <v>38.4</v>
      </c>
      <c r="E744" s="11"/>
      <c r="F744" s="9"/>
    </row>
    <row r="745" s="1" customFormat="1" customHeight="1" spans="1:6">
      <c r="A745" s="9" t="str">
        <f>"10532102523"</f>
        <v>10532102523</v>
      </c>
      <c r="B745" s="10">
        <v>38.83</v>
      </c>
      <c r="C745" s="9"/>
      <c r="D745" s="9">
        <f t="shared" si="11"/>
        <v>38.83</v>
      </c>
      <c r="E745" s="11"/>
      <c r="F745" s="9"/>
    </row>
    <row r="746" s="1" customFormat="1" customHeight="1" spans="1:6">
      <c r="A746" s="9" t="str">
        <f>"10182102524"</f>
        <v>10182102524</v>
      </c>
      <c r="B746" s="10">
        <v>36.23</v>
      </c>
      <c r="C746" s="9"/>
      <c r="D746" s="9">
        <f t="shared" si="11"/>
        <v>36.23</v>
      </c>
      <c r="E746" s="11"/>
      <c r="F746" s="9"/>
    </row>
    <row r="747" s="1" customFormat="1" customHeight="1" spans="1:6">
      <c r="A747" s="9" t="str">
        <f>"10272102525"</f>
        <v>10272102525</v>
      </c>
      <c r="B747" s="10">
        <v>51.01</v>
      </c>
      <c r="C747" s="9"/>
      <c r="D747" s="9">
        <f t="shared" si="11"/>
        <v>51.01</v>
      </c>
      <c r="E747" s="11"/>
      <c r="F747" s="9"/>
    </row>
    <row r="748" s="1" customFormat="1" customHeight="1" spans="1:6">
      <c r="A748" s="9" t="str">
        <f>"10522102526"</f>
        <v>10522102526</v>
      </c>
      <c r="B748" s="10">
        <v>29.5</v>
      </c>
      <c r="C748" s="9"/>
      <c r="D748" s="9">
        <f t="shared" si="11"/>
        <v>29.5</v>
      </c>
      <c r="E748" s="11"/>
      <c r="F748" s="9"/>
    </row>
    <row r="749" s="1" customFormat="1" customHeight="1" spans="1:6">
      <c r="A749" s="9" t="str">
        <f>"10532102527"</f>
        <v>10532102527</v>
      </c>
      <c r="B749" s="10">
        <v>0</v>
      </c>
      <c r="C749" s="9"/>
      <c r="D749" s="9">
        <f t="shared" si="11"/>
        <v>0</v>
      </c>
      <c r="E749" s="11"/>
      <c r="F749" s="9" t="s">
        <v>7</v>
      </c>
    </row>
    <row r="750" s="1" customFormat="1" customHeight="1" spans="1:6">
      <c r="A750" s="9" t="str">
        <f>"10532102528"</f>
        <v>10532102528</v>
      </c>
      <c r="B750" s="10">
        <v>47.03</v>
      </c>
      <c r="C750" s="9"/>
      <c r="D750" s="9">
        <f t="shared" si="11"/>
        <v>47.03</v>
      </c>
      <c r="E750" s="11"/>
      <c r="F750" s="9"/>
    </row>
    <row r="751" s="1" customFormat="1" customHeight="1" spans="1:6">
      <c r="A751" s="9" t="str">
        <f>"10362102529"</f>
        <v>10362102529</v>
      </c>
      <c r="B751" s="10">
        <v>45.93</v>
      </c>
      <c r="C751" s="9"/>
      <c r="D751" s="9">
        <f t="shared" si="11"/>
        <v>45.93</v>
      </c>
      <c r="E751" s="11"/>
      <c r="F751" s="9"/>
    </row>
    <row r="752" s="1" customFormat="1" customHeight="1" spans="1:6">
      <c r="A752" s="9" t="str">
        <f>"10092102530"</f>
        <v>10092102530</v>
      </c>
      <c r="B752" s="10">
        <v>45.21</v>
      </c>
      <c r="C752" s="9"/>
      <c r="D752" s="9">
        <f t="shared" si="11"/>
        <v>45.21</v>
      </c>
      <c r="E752" s="11"/>
      <c r="F752" s="9"/>
    </row>
    <row r="753" s="1" customFormat="1" customHeight="1" spans="1:6">
      <c r="A753" s="9" t="str">
        <f>"10072102601"</f>
        <v>10072102601</v>
      </c>
      <c r="B753" s="10">
        <v>0</v>
      </c>
      <c r="C753" s="9"/>
      <c r="D753" s="9">
        <f t="shared" si="11"/>
        <v>0</v>
      </c>
      <c r="E753" s="11"/>
      <c r="F753" s="9" t="s">
        <v>7</v>
      </c>
    </row>
    <row r="754" s="1" customFormat="1" customHeight="1" spans="1:6">
      <c r="A754" s="9" t="str">
        <f>"10292102602"</f>
        <v>10292102602</v>
      </c>
      <c r="B754" s="10">
        <v>43.8</v>
      </c>
      <c r="C754" s="9"/>
      <c r="D754" s="9">
        <f t="shared" si="11"/>
        <v>43.8</v>
      </c>
      <c r="E754" s="11"/>
      <c r="F754" s="9"/>
    </row>
    <row r="755" s="1" customFormat="1" customHeight="1" spans="1:6">
      <c r="A755" s="9" t="str">
        <f>"10302102603"</f>
        <v>10302102603</v>
      </c>
      <c r="B755" s="10">
        <v>40.99</v>
      </c>
      <c r="C755" s="9"/>
      <c r="D755" s="9">
        <f t="shared" si="11"/>
        <v>40.99</v>
      </c>
      <c r="E755" s="11"/>
      <c r="F755" s="9"/>
    </row>
    <row r="756" s="1" customFormat="1" customHeight="1" spans="1:6">
      <c r="A756" s="9" t="str">
        <f>"10212102604"</f>
        <v>10212102604</v>
      </c>
      <c r="B756" s="10">
        <v>34.78</v>
      </c>
      <c r="C756" s="9"/>
      <c r="D756" s="9">
        <f t="shared" si="11"/>
        <v>34.78</v>
      </c>
      <c r="E756" s="11"/>
      <c r="F756" s="9"/>
    </row>
    <row r="757" s="1" customFormat="1" customHeight="1" spans="1:6">
      <c r="A757" s="9" t="str">
        <f>"10162102605"</f>
        <v>10162102605</v>
      </c>
      <c r="B757" s="10">
        <v>40.1</v>
      </c>
      <c r="C757" s="9"/>
      <c r="D757" s="9">
        <f t="shared" si="11"/>
        <v>40.1</v>
      </c>
      <c r="E757" s="11"/>
      <c r="F757" s="9"/>
    </row>
    <row r="758" s="1" customFormat="1" customHeight="1" spans="1:6">
      <c r="A758" s="9" t="str">
        <f>"10132102606"</f>
        <v>10132102606</v>
      </c>
      <c r="B758" s="10">
        <v>35.51</v>
      </c>
      <c r="C758" s="9"/>
      <c r="D758" s="9">
        <f t="shared" si="11"/>
        <v>35.51</v>
      </c>
      <c r="E758" s="11"/>
      <c r="F758" s="9"/>
    </row>
    <row r="759" s="1" customFormat="1" customHeight="1" spans="1:6">
      <c r="A759" s="9" t="str">
        <f>"10462102607"</f>
        <v>10462102607</v>
      </c>
      <c r="B759" s="10">
        <v>42.26</v>
      </c>
      <c r="C759" s="9"/>
      <c r="D759" s="9">
        <f t="shared" si="11"/>
        <v>42.26</v>
      </c>
      <c r="E759" s="11"/>
      <c r="F759" s="9"/>
    </row>
    <row r="760" s="1" customFormat="1" customHeight="1" spans="1:6">
      <c r="A760" s="9" t="str">
        <f>"10242102608"</f>
        <v>10242102608</v>
      </c>
      <c r="B760" s="10">
        <v>34.9</v>
      </c>
      <c r="C760" s="9"/>
      <c r="D760" s="9">
        <f t="shared" si="11"/>
        <v>34.9</v>
      </c>
      <c r="E760" s="11"/>
      <c r="F760" s="9"/>
    </row>
    <row r="761" s="1" customFormat="1" customHeight="1" spans="1:6">
      <c r="A761" s="9" t="str">
        <f>"10442102609"</f>
        <v>10442102609</v>
      </c>
      <c r="B761" s="10">
        <v>33.83</v>
      </c>
      <c r="C761" s="9"/>
      <c r="D761" s="9">
        <f t="shared" si="11"/>
        <v>33.83</v>
      </c>
      <c r="E761" s="11"/>
      <c r="F761" s="9"/>
    </row>
    <row r="762" s="1" customFormat="1" customHeight="1" spans="1:6">
      <c r="A762" s="9" t="str">
        <f>"10282102610"</f>
        <v>10282102610</v>
      </c>
      <c r="B762" s="10">
        <v>34.08</v>
      </c>
      <c r="C762" s="9"/>
      <c r="D762" s="9">
        <f t="shared" si="11"/>
        <v>34.08</v>
      </c>
      <c r="E762" s="11"/>
      <c r="F762" s="9"/>
    </row>
    <row r="763" s="1" customFormat="1" customHeight="1" spans="1:6">
      <c r="A763" s="9" t="str">
        <f>"10512102611"</f>
        <v>10512102611</v>
      </c>
      <c r="B763" s="10">
        <v>40.9</v>
      </c>
      <c r="C763" s="9"/>
      <c r="D763" s="9">
        <f t="shared" si="11"/>
        <v>40.9</v>
      </c>
      <c r="E763" s="11"/>
      <c r="F763" s="9"/>
    </row>
    <row r="764" s="1" customFormat="1" customHeight="1" spans="1:6">
      <c r="A764" s="9" t="str">
        <f>"10172102612"</f>
        <v>10172102612</v>
      </c>
      <c r="B764" s="10">
        <v>0</v>
      </c>
      <c r="C764" s="9"/>
      <c r="D764" s="9">
        <f t="shared" si="11"/>
        <v>0</v>
      </c>
      <c r="E764" s="11"/>
      <c r="F764" s="9" t="s">
        <v>7</v>
      </c>
    </row>
    <row r="765" s="1" customFormat="1" customHeight="1" spans="1:6">
      <c r="A765" s="9" t="str">
        <f>"10062102613"</f>
        <v>10062102613</v>
      </c>
      <c r="B765" s="10">
        <v>38.81</v>
      </c>
      <c r="C765" s="9"/>
      <c r="D765" s="9">
        <f t="shared" si="11"/>
        <v>38.81</v>
      </c>
      <c r="E765" s="11"/>
      <c r="F765" s="9"/>
    </row>
    <row r="766" s="1" customFormat="1" customHeight="1" spans="1:6">
      <c r="A766" s="9" t="str">
        <f>"10362102614"</f>
        <v>10362102614</v>
      </c>
      <c r="B766" s="10">
        <v>32.02</v>
      </c>
      <c r="C766" s="9"/>
      <c r="D766" s="9">
        <f t="shared" si="11"/>
        <v>32.02</v>
      </c>
      <c r="E766" s="11"/>
      <c r="F766" s="9"/>
    </row>
    <row r="767" s="1" customFormat="1" customHeight="1" spans="1:6">
      <c r="A767" s="9" t="str">
        <f>"10302102615"</f>
        <v>10302102615</v>
      </c>
      <c r="B767" s="10">
        <v>0</v>
      </c>
      <c r="C767" s="9"/>
      <c r="D767" s="9">
        <f t="shared" si="11"/>
        <v>0</v>
      </c>
      <c r="E767" s="11"/>
      <c r="F767" s="9" t="s">
        <v>7</v>
      </c>
    </row>
    <row r="768" s="1" customFormat="1" customHeight="1" spans="1:6">
      <c r="A768" s="9" t="str">
        <f>"10062102616"</f>
        <v>10062102616</v>
      </c>
      <c r="B768" s="10">
        <v>38.21</v>
      </c>
      <c r="C768" s="9"/>
      <c r="D768" s="9">
        <f t="shared" si="11"/>
        <v>38.21</v>
      </c>
      <c r="E768" s="11"/>
      <c r="F768" s="9"/>
    </row>
    <row r="769" s="1" customFormat="1" customHeight="1" spans="1:6">
      <c r="A769" s="9" t="str">
        <f>"10182102617"</f>
        <v>10182102617</v>
      </c>
      <c r="B769" s="10">
        <v>38.17</v>
      </c>
      <c r="C769" s="9"/>
      <c r="D769" s="9">
        <f t="shared" si="11"/>
        <v>38.17</v>
      </c>
      <c r="E769" s="11"/>
      <c r="F769" s="9"/>
    </row>
    <row r="770" s="1" customFormat="1" customHeight="1" spans="1:6">
      <c r="A770" s="9" t="str">
        <f>"10062102618"</f>
        <v>10062102618</v>
      </c>
      <c r="B770" s="10">
        <v>44.35</v>
      </c>
      <c r="C770" s="9"/>
      <c r="D770" s="9">
        <f t="shared" si="11"/>
        <v>44.35</v>
      </c>
      <c r="E770" s="11"/>
      <c r="F770" s="9"/>
    </row>
    <row r="771" s="1" customFormat="1" customHeight="1" spans="1:6">
      <c r="A771" s="9" t="str">
        <f>"10302102619"</f>
        <v>10302102619</v>
      </c>
      <c r="B771" s="10">
        <v>41.36</v>
      </c>
      <c r="C771" s="9"/>
      <c r="D771" s="9">
        <f t="shared" ref="D771:D834" si="12">SUM(B771:C771)</f>
        <v>41.36</v>
      </c>
      <c r="E771" s="11"/>
      <c r="F771" s="9"/>
    </row>
    <row r="772" s="1" customFormat="1" customHeight="1" spans="1:6">
      <c r="A772" s="9" t="str">
        <f>"10492102620"</f>
        <v>10492102620</v>
      </c>
      <c r="B772" s="10">
        <v>0</v>
      </c>
      <c r="C772" s="9"/>
      <c r="D772" s="9">
        <f t="shared" si="12"/>
        <v>0</v>
      </c>
      <c r="E772" s="11"/>
      <c r="F772" s="9" t="s">
        <v>7</v>
      </c>
    </row>
    <row r="773" s="1" customFormat="1" customHeight="1" spans="1:6">
      <c r="A773" s="9" t="str">
        <f>"10362102621"</f>
        <v>10362102621</v>
      </c>
      <c r="B773" s="10">
        <v>24.81</v>
      </c>
      <c r="C773" s="9"/>
      <c r="D773" s="9">
        <f t="shared" si="12"/>
        <v>24.81</v>
      </c>
      <c r="E773" s="11"/>
      <c r="F773" s="9"/>
    </row>
    <row r="774" s="1" customFormat="1" customHeight="1" spans="1:6">
      <c r="A774" s="9" t="str">
        <f>"10282102622"</f>
        <v>10282102622</v>
      </c>
      <c r="B774" s="10">
        <v>46.86</v>
      </c>
      <c r="C774" s="9"/>
      <c r="D774" s="9">
        <f t="shared" si="12"/>
        <v>46.86</v>
      </c>
      <c r="E774" s="11"/>
      <c r="F774" s="9"/>
    </row>
    <row r="775" s="1" customFormat="1" customHeight="1" spans="1:6">
      <c r="A775" s="9" t="str">
        <f>"10132102623"</f>
        <v>10132102623</v>
      </c>
      <c r="B775" s="10">
        <v>39.72</v>
      </c>
      <c r="C775" s="9"/>
      <c r="D775" s="9">
        <f t="shared" si="12"/>
        <v>39.72</v>
      </c>
      <c r="E775" s="11"/>
      <c r="F775" s="9"/>
    </row>
    <row r="776" s="1" customFormat="1" customHeight="1" spans="1:6">
      <c r="A776" s="9" t="str">
        <f>"10202102624"</f>
        <v>10202102624</v>
      </c>
      <c r="B776" s="10">
        <v>0</v>
      </c>
      <c r="C776" s="9"/>
      <c r="D776" s="9">
        <f t="shared" si="12"/>
        <v>0</v>
      </c>
      <c r="E776" s="11"/>
      <c r="F776" s="9" t="s">
        <v>7</v>
      </c>
    </row>
    <row r="777" s="1" customFormat="1" customHeight="1" spans="1:6">
      <c r="A777" s="9" t="str">
        <f>"10522102625"</f>
        <v>10522102625</v>
      </c>
      <c r="B777" s="10">
        <v>44.85</v>
      </c>
      <c r="C777" s="9"/>
      <c r="D777" s="9">
        <f t="shared" si="12"/>
        <v>44.85</v>
      </c>
      <c r="E777" s="11"/>
      <c r="F777" s="9"/>
    </row>
    <row r="778" s="1" customFormat="1" customHeight="1" spans="1:6">
      <c r="A778" s="9" t="str">
        <f>"10412102626"</f>
        <v>10412102626</v>
      </c>
      <c r="B778" s="10">
        <v>46.34</v>
      </c>
      <c r="C778" s="9"/>
      <c r="D778" s="9">
        <f t="shared" si="12"/>
        <v>46.34</v>
      </c>
      <c r="E778" s="11"/>
      <c r="F778" s="9"/>
    </row>
    <row r="779" s="1" customFormat="1" customHeight="1" spans="1:6">
      <c r="A779" s="9" t="str">
        <f>"10362102627"</f>
        <v>10362102627</v>
      </c>
      <c r="B779" s="10">
        <v>35.47</v>
      </c>
      <c r="C779" s="9"/>
      <c r="D779" s="9">
        <f t="shared" si="12"/>
        <v>35.47</v>
      </c>
      <c r="E779" s="11"/>
      <c r="F779" s="9"/>
    </row>
    <row r="780" s="1" customFormat="1" customHeight="1" spans="1:6">
      <c r="A780" s="9" t="str">
        <f>"10462102628"</f>
        <v>10462102628</v>
      </c>
      <c r="B780" s="10">
        <v>50.48</v>
      </c>
      <c r="C780" s="9"/>
      <c r="D780" s="9">
        <f t="shared" si="12"/>
        <v>50.48</v>
      </c>
      <c r="E780" s="11"/>
      <c r="F780" s="9"/>
    </row>
    <row r="781" s="1" customFormat="1" customHeight="1" spans="1:6">
      <c r="A781" s="9" t="str">
        <f>"10362102629"</f>
        <v>10362102629</v>
      </c>
      <c r="B781" s="10">
        <v>49.3</v>
      </c>
      <c r="C781" s="9"/>
      <c r="D781" s="9">
        <f t="shared" si="12"/>
        <v>49.3</v>
      </c>
      <c r="E781" s="11"/>
      <c r="F781" s="9"/>
    </row>
    <row r="782" s="1" customFormat="1" customHeight="1" spans="1:6">
      <c r="A782" s="9" t="str">
        <f>"10172102630"</f>
        <v>10172102630</v>
      </c>
      <c r="B782" s="10">
        <v>50.95</v>
      </c>
      <c r="C782" s="9"/>
      <c r="D782" s="9">
        <f t="shared" si="12"/>
        <v>50.95</v>
      </c>
      <c r="E782" s="11"/>
      <c r="F782" s="9"/>
    </row>
    <row r="783" s="1" customFormat="1" customHeight="1" spans="1:6">
      <c r="A783" s="9" t="str">
        <f>"10102102701"</f>
        <v>10102102701</v>
      </c>
      <c r="B783" s="10">
        <v>37.45</v>
      </c>
      <c r="C783" s="9"/>
      <c r="D783" s="9">
        <f t="shared" si="12"/>
        <v>37.45</v>
      </c>
      <c r="E783" s="11"/>
      <c r="F783" s="9"/>
    </row>
    <row r="784" s="1" customFormat="1" customHeight="1" spans="1:6">
      <c r="A784" s="9" t="str">
        <f>"10062102702"</f>
        <v>10062102702</v>
      </c>
      <c r="B784" s="10">
        <v>34.98</v>
      </c>
      <c r="C784" s="9"/>
      <c r="D784" s="9">
        <f t="shared" si="12"/>
        <v>34.98</v>
      </c>
      <c r="E784" s="11"/>
      <c r="F784" s="9"/>
    </row>
    <row r="785" s="1" customFormat="1" customHeight="1" spans="1:6">
      <c r="A785" s="9" t="str">
        <f>"10182102703"</f>
        <v>10182102703</v>
      </c>
      <c r="B785" s="10">
        <v>0</v>
      </c>
      <c r="C785" s="9"/>
      <c r="D785" s="9">
        <f t="shared" si="12"/>
        <v>0</v>
      </c>
      <c r="E785" s="11"/>
      <c r="F785" s="9" t="s">
        <v>7</v>
      </c>
    </row>
    <row r="786" s="1" customFormat="1" customHeight="1" spans="1:6">
      <c r="A786" s="9" t="str">
        <f>"10132102704"</f>
        <v>10132102704</v>
      </c>
      <c r="B786" s="10">
        <v>45.11</v>
      </c>
      <c r="C786" s="9"/>
      <c r="D786" s="9">
        <f t="shared" si="12"/>
        <v>45.11</v>
      </c>
      <c r="E786" s="11"/>
      <c r="F786" s="9"/>
    </row>
    <row r="787" s="1" customFormat="1" customHeight="1" spans="1:6">
      <c r="A787" s="9" t="str">
        <f>"10432102705"</f>
        <v>10432102705</v>
      </c>
      <c r="B787" s="10">
        <v>41.99</v>
      </c>
      <c r="C787" s="9"/>
      <c r="D787" s="9">
        <f t="shared" si="12"/>
        <v>41.99</v>
      </c>
      <c r="E787" s="11"/>
      <c r="F787" s="9"/>
    </row>
    <row r="788" s="1" customFormat="1" customHeight="1" spans="1:6">
      <c r="A788" s="9" t="str">
        <f>"10142102706"</f>
        <v>10142102706</v>
      </c>
      <c r="B788" s="10">
        <v>0</v>
      </c>
      <c r="C788" s="9"/>
      <c r="D788" s="9">
        <f t="shared" si="12"/>
        <v>0</v>
      </c>
      <c r="E788" s="11"/>
      <c r="F788" s="9" t="s">
        <v>7</v>
      </c>
    </row>
    <row r="789" s="1" customFormat="1" customHeight="1" spans="1:6">
      <c r="A789" s="9" t="str">
        <f>"10362102707"</f>
        <v>10362102707</v>
      </c>
      <c r="B789" s="10">
        <v>40.4</v>
      </c>
      <c r="C789" s="9"/>
      <c r="D789" s="9">
        <f t="shared" si="12"/>
        <v>40.4</v>
      </c>
      <c r="E789" s="11"/>
      <c r="F789" s="9"/>
    </row>
    <row r="790" s="1" customFormat="1" customHeight="1" spans="1:6">
      <c r="A790" s="9" t="str">
        <f>"10362102708"</f>
        <v>10362102708</v>
      </c>
      <c r="B790" s="10">
        <v>34.86</v>
      </c>
      <c r="C790" s="9"/>
      <c r="D790" s="9">
        <f t="shared" si="12"/>
        <v>34.86</v>
      </c>
      <c r="E790" s="11"/>
      <c r="F790" s="9"/>
    </row>
    <row r="791" s="1" customFormat="1" customHeight="1" spans="1:6">
      <c r="A791" s="9" t="str">
        <f>"10442102709"</f>
        <v>10442102709</v>
      </c>
      <c r="B791" s="10">
        <v>0</v>
      </c>
      <c r="C791" s="9"/>
      <c r="D791" s="9">
        <f t="shared" si="12"/>
        <v>0</v>
      </c>
      <c r="E791" s="11"/>
      <c r="F791" s="9" t="s">
        <v>7</v>
      </c>
    </row>
    <row r="792" s="1" customFormat="1" customHeight="1" spans="1:6">
      <c r="A792" s="9" t="str">
        <f>"10362102710"</f>
        <v>10362102710</v>
      </c>
      <c r="B792" s="10">
        <v>38.02</v>
      </c>
      <c r="C792" s="9"/>
      <c r="D792" s="9">
        <f t="shared" si="12"/>
        <v>38.02</v>
      </c>
      <c r="E792" s="11"/>
      <c r="F792" s="9"/>
    </row>
    <row r="793" s="1" customFormat="1" customHeight="1" spans="1:6">
      <c r="A793" s="9" t="str">
        <f>"10132102711"</f>
        <v>10132102711</v>
      </c>
      <c r="B793" s="10">
        <v>48.64</v>
      </c>
      <c r="C793" s="9"/>
      <c r="D793" s="9">
        <f t="shared" si="12"/>
        <v>48.64</v>
      </c>
      <c r="E793" s="11"/>
      <c r="F793" s="9"/>
    </row>
    <row r="794" s="1" customFormat="1" customHeight="1" spans="1:6">
      <c r="A794" s="9" t="str">
        <f>"10092102712"</f>
        <v>10092102712</v>
      </c>
      <c r="B794" s="10">
        <v>0</v>
      </c>
      <c r="C794" s="9"/>
      <c r="D794" s="9">
        <f t="shared" si="12"/>
        <v>0</v>
      </c>
      <c r="E794" s="11"/>
      <c r="F794" s="9" t="s">
        <v>7</v>
      </c>
    </row>
    <row r="795" s="1" customFormat="1" customHeight="1" spans="1:6">
      <c r="A795" s="9" t="str">
        <f>"10472102713"</f>
        <v>10472102713</v>
      </c>
      <c r="B795" s="10">
        <v>0</v>
      </c>
      <c r="C795" s="9"/>
      <c r="D795" s="9">
        <f t="shared" si="12"/>
        <v>0</v>
      </c>
      <c r="E795" s="11"/>
      <c r="F795" s="9" t="s">
        <v>7</v>
      </c>
    </row>
    <row r="796" s="1" customFormat="1" customHeight="1" spans="1:6">
      <c r="A796" s="9" t="str">
        <f>"10492102714"</f>
        <v>10492102714</v>
      </c>
      <c r="B796" s="10">
        <v>37.99</v>
      </c>
      <c r="C796" s="9"/>
      <c r="D796" s="9">
        <f t="shared" si="12"/>
        <v>37.99</v>
      </c>
      <c r="E796" s="11"/>
      <c r="F796" s="9"/>
    </row>
    <row r="797" s="1" customFormat="1" customHeight="1" spans="1:6">
      <c r="A797" s="9" t="str">
        <f>"10382102715"</f>
        <v>10382102715</v>
      </c>
      <c r="B797" s="10">
        <v>0</v>
      </c>
      <c r="C797" s="9"/>
      <c r="D797" s="9">
        <f t="shared" si="12"/>
        <v>0</v>
      </c>
      <c r="E797" s="11"/>
      <c r="F797" s="9" t="s">
        <v>7</v>
      </c>
    </row>
    <row r="798" s="1" customFormat="1" customHeight="1" spans="1:6">
      <c r="A798" s="9" t="str">
        <f>"10272102716"</f>
        <v>10272102716</v>
      </c>
      <c r="B798" s="10">
        <v>43.24</v>
      </c>
      <c r="C798" s="9"/>
      <c r="D798" s="9">
        <f t="shared" si="12"/>
        <v>43.24</v>
      </c>
      <c r="E798" s="11"/>
      <c r="F798" s="9"/>
    </row>
    <row r="799" s="1" customFormat="1" customHeight="1" spans="1:6">
      <c r="A799" s="9" t="str">
        <f>"10362102717"</f>
        <v>10362102717</v>
      </c>
      <c r="B799" s="10">
        <v>43.58</v>
      </c>
      <c r="C799" s="9"/>
      <c r="D799" s="9">
        <f t="shared" si="12"/>
        <v>43.58</v>
      </c>
      <c r="E799" s="11"/>
      <c r="F799" s="9"/>
    </row>
    <row r="800" s="1" customFormat="1" customHeight="1" spans="1:6">
      <c r="A800" s="9" t="str">
        <f>"10112102718"</f>
        <v>10112102718</v>
      </c>
      <c r="B800" s="10">
        <v>40.43</v>
      </c>
      <c r="C800" s="9"/>
      <c r="D800" s="9">
        <f t="shared" si="12"/>
        <v>40.43</v>
      </c>
      <c r="E800" s="11"/>
      <c r="F800" s="9"/>
    </row>
    <row r="801" s="1" customFormat="1" customHeight="1" spans="1:6">
      <c r="A801" s="9" t="str">
        <f>"10212102719"</f>
        <v>10212102719</v>
      </c>
      <c r="B801" s="10">
        <v>42.62</v>
      </c>
      <c r="C801" s="9"/>
      <c r="D801" s="9">
        <f t="shared" si="12"/>
        <v>42.62</v>
      </c>
      <c r="E801" s="11"/>
      <c r="F801" s="9"/>
    </row>
    <row r="802" s="1" customFormat="1" customHeight="1" spans="1:6">
      <c r="A802" s="9" t="str">
        <f>"10362102720"</f>
        <v>10362102720</v>
      </c>
      <c r="B802" s="10">
        <v>34.08</v>
      </c>
      <c r="C802" s="9"/>
      <c r="D802" s="9">
        <f t="shared" si="12"/>
        <v>34.08</v>
      </c>
      <c r="E802" s="11"/>
      <c r="F802" s="9"/>
    </row>
    <row r="803" s="1" customFormat="1" customHeight="1" spans="1:6">
      <c r="A803" s="9" t="str">
        <f>"10532102721"</f>
        <v>10532102721</v>
      </c>
      <c r="B803" s="10">
        <v>0</v>
      </c>
      <c r="C803" s="9"/>
      <c r="D803" s="9">
        <f t="shared" si="12"/>
        <v>0</v>
      </c>
      <c r="E803" s="11"/>
      <c r="F803" s="9" t="s">
        <v>7</v>
      </c>
    </row>
    <row r="804" s="1" customFormat="1" customHeight="1" spans="1:6">
      <c r="A804" s="9" t="str">
        <f>"10062102722"</f>
        <v>10062102722</v>
      </c>
      <c r="B804" s="10">
        <v>35.8</v>
      </c>
      <c r="C804" s="9"/>
      <c r="D804" s="9">
        <f t="shared" si="12"/>
        <v>35.8</v>
      </c>
      <c r="E804" s="11"/>
      <c r="F804" s="9"/>
    </row>
    <row r="805" s="1" customFormat="1" customHeight="1" spans="1:6">
      <c r="A805" s="9" t="str">
        <f>"10512102723"</f>
        <v>10512102723</v>
      </c>
      <c r="B805" s="10">
        <v>42.38</v>
      </c>
      <c r="C805" s="9"/>
      <c r="D805" s="9">
        <f t="shared" si="12"/>
        <v>42.38</v>
      </c>
      <c r="E805" s="11"/>
      <c r="F805" s="9"/>
    </row>
    <row r="806" s="1" customFormat="1" customHeight="1" spans="1:6">
      <c r="A806" s="9" t="str">
        <f>"10432102724"</f>
        <v>10432102724</v>
      </c>
      <c r="B806" s="10">
        <v>30.51</v>
      </c>
      <c r="C806" s="9"/>
      <c r="D806" s="9">
        <f t="shared" si="12"/>
        <v>30.51</v>
      </c>
      <c r="E806" s="11"/>
      <c r="F806" s="9"/>
    </row>
    <row r="807" s="1" customFormat="1" customHeight="1" spans="1:6">
      <c r="A807" s="9" t="str">
        <f>"10312102725"</f>
        <v>10312102725</v>
      </c>
      <c r="B807" s="10">
        <v>46.74</v>
      </c>
      <c r="C807" s="9"/>
      <c r="D807" s="9">
        <f t="shared" si="12"/>
        <v>46.74</v>
      </c>
      <c r="E807" s="11"/>
      <c r="F807" s="9"/>
    </row>
    <row r="808" s="1" customFormat="1" customHeight="1" spans="1:6">
      <c r="A808" s="9" t="str">
        <f>"10362102726"</f>
        <v>10362102726</v>
      </c>
      <c r="B808" s="10">
        <v>0</v>
      </c>
      <c r="C808" s="9"/>
      <c r="D808" s="9">
        <f t="shared" si="12"/>
        <v>0</v>
      </c>
      <c r="E808" s="11"/>
      <c r="F808" s="9" t="s">
        <v>7</v>
      </c>
    </row>
    <row r="809" s="1" customFormat="1" customHeight="1" spans="1:6">
      <c r="A809" s="9" t="str">
        <f>"10332102727"</f>
        <v>10332102727</v>
      </c>
      <c r="B809" s="10">
        <v>40.23</v>
      </c>
      <c r="C809" s="9"/>
      <c r="D809" s="9">
        <f t="shared" si="12"/>
        <v>40.23</v>
      </c>
      <c r="E809" s="11"/>
      <c r="F809" s="9"/>
    </row>
    <row r="810" s="1" customFormat="1" customHeight="1" spans="1:6">
      <c r="A810" s="9" t="str">
        <f>"10532102728"</f>
        <v>10532102728</v>
      </c>
      <c r="B810" s="10">
        <v>30.29</v>
      </c>
      <c r="C810" s="9"/>
      <c r="D810" s="9">
        <f t="shared" si="12"/>
        <v>30.29</v>
      </c>
      <c r="E810" s="11"/>
      <c r="F810" s="9"/>
    </row>
    <row r="811" s="1" customFormat="1" customHeight="1" spans="1:6">
      <c r="A811" s="9" t="str">
        <f>"10362102729"</f>
        <v>10362102729</v>
      </c>
      <c r="B811" s="10">
        <v>0</v>
      </c>
      <c r="C811" s="9"/>
      <c r="D811" s="9">
        <f t="shared" si="12"/>
        <v>0</v>
      </c>
      <c r="E811" s="11"/>
      <c r="F811" s="9" t="s">
        <v>7</v>
      </c>
    </row>
    <row r="812" s="1" customFormat="1" customHeight="1" spans="1:6">
      <c r="A812" s="9" t="str">
        <f>"10172102730"</f>
        <v>10172102730</v>
      </c>
      <c r="B812" s="10">
        <v>51.67</v>
      </c>
      <c r="C812" s="9"/>
      <c r="D812" s="9">
        <f t="shared" si="12"/>
        <v>51.67</v>
      </c>
      <c r="E812" s="11"/>
      <c r="F812" s="9"/>
    </row>
    <row r="813" s="1" customFormat="1" customHeight="1" spans="1:6">
      <c r="A813" s="9" t="str">
        <f>"10122102801"</f>
        <v>10122102801</v>
      </c>
      <c r="B813" s="10">
        <v>0</v>
      </c>
      <c r="C813" s="9"/>
      <c r="D813" s="9">
        <f t="shared" si="12"/>
        <v>0</v>
      </c>
      <c r="E813" s="11"/>
      <c r="F813" s="9" t="s">
        <v>7</v>
      </c>
    </row>
    <row r="814" s="1" customFormat="1" customHeight="1" spans="1:6">
      <c r="A814" s="9" t="str">
        <f>"10172102802"</f>
        <v>10172102802</v>
      </c>
      <c r="B814" s="10">
        <v>0</v>
      </c>
      <c r="C814" s="9"/>
      <c r="D814" s="9">
        <f t="shared" si="12"/>
        <v>0</v>
      </c>
      <c r="E814" s="11"/>
      <c r="F814" s="9" t="s">
        <v>7</v>
      </c>
    </row>
    <row r="815" s="1" customFormat="1" customHeight="1" spans="1:6">
      <c r="A815" s="9" t="str">
        <f>"10362102803"</f>
        <v>10362102803</v>
      </c>
      <c r="B815" s="10">
        <v>28.23</v>
      </c>
      <c r="C815" s="9"/>
      <c r="D815" s="9">
        <f t="shared" si="12"/>
        <v>28.23</v>
      </c>
      <c r="E815" s="11"/>
      <c r="F815" s="9"/>
    </row>
    <row r="816" s="1" customFormat="1" customHeight="1" spans="1:6">
      <c r="A816" s="9" t="str">
        <f>"10162102804"</f>
        <v>10162102804</v>
      </c>
      <c r="B816" s="10">
        <v>40.81</v>
      </c>
      <c r="C816" s="9"/>
      <c r="D816" s="9">
        <f t="shared" si="12"/>
        <v>40.81</v>
      </c>
      <c r="E816" s="11"/>
      <c r="F816" s="9"/>
    </row>
    <row r="817" s="1" customFormat="1" customHeight="1" spans="1:6">
      <c r="A817" s="9" t="str">
        <f>"10172102805"</f>
        <v>10172102805</v>
      </c>
      <c r="B817" s="10">
        <v>40.8</v>
      </c>
      <c r="C817" s="9"/>
      <c r="D817" s="9">
        <f t="shared" si="12"/>
        <v>40.8</v>
      </c>
      <c r="E817" s="11"/>
      <c r="F817" s="9"/>
    </row>
    <row r="818" s="1" customFormat="1" customHeight="1" spans="1:6">
      <c r="A818" s="9" t="str">
        <f>"10532102806"</f>
        <v>10532102806</v>
      </c>
      <c r="B818" s="10">
        <v>32.93</v>
      </c>
      <c r="C818" s="9">
        <v>10</v>
      </c>
      <c r="D818" s="9">
        <f t="shared" si="12"/>
        <v>42.93</v>
      </c>
      <c r="E818" s="12" t="s">
        <v>8</v>
      </c>
      <c r="F818" s="9"/>
    </row>
    <row r="819" s="1" customFormat="1" customHeight="1" spans="1:6">
      <c r="A819" s="9" t="str">
        <f>"10232102807"</f>
        <v>10232102807</v>
      </c>
      <c r="B819" s="10">
        <v>44.71</v>
      </c>
      <c r="C819" s="9"/>
      <c r="D819" s="9">
        <f t="shared" si="12"/>
        <v>44.71</v>
      </c>
      <c r="E819" s="11"/>
      <c r="F819" s="9"/>
    </row>
    <row r="820" s="1" customFormat="1" customHeight="1" spans="1:6">
      <c r="A820" s="9" t="str">
        <f>"10132102808"</f>
        <v>10132102808</v>
      </c>
      <c r="B820" s="10">
        <v>46.09</v>
      </c>
      <c r="C820" s="9"/>
      <c r="D820" s="9">
        <f t="shared" si="12"/>
        <v>46.09</v>
      </c>
      <c r="E820" s="11"/>
      <c r="F820" s="9"/>
    </row>
    <row r="821" s="1" customFormat="1" customHeight="1" spans="1:6">
      <c r="A821" s="9" t="str">
        <f>"10332102809"</f>
        <v>10332102809</v>
      </c>
      <c r="B821" s="10">
        <v>49.15</v>
      </c>
      <c r="C821" s="9"/>
      <c r="D821" s="9">
        <f t="shared" si="12"/>
        <v>49.15</v>
      </c>
      <c r="E821" s="11"/>
      <c r="F821" s="9"/>
    </row>
    <row r="822" s="1" customFormat="1" customHeight="1" spans="1:6">
      <c r="A822" s="9" t="str">
        <f>"10292102810"</f>
        <v>10292102810</v>
      </c>
      <c r="B822" s="10">
        <v>0</v>
      </c>
      <c r="C822" s="9"/>
      <c r="D822" s="9">
        <f t="shared" si="12"/>
        <v>0</v>
      </c>
      <c r="E822" s="11"/>
      <c r="F822" s="9" t="s">
        <v>7</v>
      </c>
    </row>
    <row r="823" s="1" customFormat="1" customHeight="1" spans="1:6">
      <c r="A823" s="9" t="str">
        <f>"10022102811"</f>
        <v>10022102811</v>
      </c>
      <c r="B823" s="10">
        <v>43.23</v>
      </c>
      <c r="C823" s="9"/>
      <c r="D823" s="9">
        <f t="shared" si="12"/>
        <v>43.23</v>
      </c>
      <c r="E823" s="11"/>
      <c r="F823" s="9"/>
    </row>
    <row r="824" s="1" customFormat="1" customHeight="1" spans="1:6">
      <c r="A824" s="9" t="str">
        <f>"10242102812"</f>
        <v>10242102812</v>
      </c>
      <c r="B824" s="10">
        <v>39.27</v>
      </c>
      <c r="C824" s="9"/>
      <c r="D824" s="9">
        <f t="shared" si="12"/>
        <v>39.27</v>
      </c>
      <c r="E824" s="11"/>
      <c r="F824" s="9"/>
    </row>
    <row r="825" s="1" customFormat="1" customHeight="1" spans="1:6">
      <c r="A825" s="9" t="str">
        <f>"10112102813"</f>
        <v>10112102813</v>
      </c>
      <c r="B825" s="10">
        <v>37.62</v>
      </c>
      <c r="C825" s="9"/>
      <c r="D825" s="9">
        <f t="shared" si="12"/>
        <v>37.62</v>
      </c>
      <c r="E825" s="11"/>
      <c r="F825" s="9"/>
    </row>
    <row r="826" s="1" customFormat="1" customHeight="1" spans="1:6">
      <c r="A826" s="9" t="str">
        <f>"10532102814"</f>
        <v>10532102814</v>
      </c>
      <c r="B826" s="10">
        <v>49.11</v>
      </c>
      <c r="C826" s="9"/>
      <c r="D826" s="9">
        <f t="shared" si="12"/>
        <v>49.11</v>
      </c>
      <c r="E826" s="11"/>
      <c r="F826" s="9"/>
    </row>
    <row r="827" s="1" customFormat="1" customHeight="1" spans="1:6">
      <c r="A827" s="9" t="str">
        <f>"10362102815"</f>
        <v>10362102815</v>
      </c>
      <c r="B827" s="10">
        <v>0</v>
      </c>
      <c r="C827" s="9"/>
      <c r="D827" s="9">
        <f t="shared" si="12"/>
        <v>0</v>
      </c>
      <c r="E827" s="11"/>
      <c r="F827" s="9" t="s">
        <v>7</v>
      </c>
    </row>
    <row r="828" s="1" customFormat="1" customHeight="1" spans="1:6">
      <c r="A828" s="9" t="str">
        <f>"10102102816"</f>
        <v>10102102816</v>
      </c>
      <c r="B828" s="10">
        <v>40.66</v>
      </c>
      <c r="C828" s="9"/>
      <c r="D828" s="9">
        <f t="shared" si="12"/>
        <v>40.66</v>
      </c>
      <c r="E828" s="11"/>
      <c r="F828" s="9"/>
    </row>
    <row r="829" s="1" customFormat="1" customHeight="1" spans="1:6">
      <c r="A829" s="9" t="str">
        <f>"10362102817"</f>
        <v>10362102817</v>
      </c>
      <c r="B829" s="10">
        <v>29.01</v>
      </c>
      <c r="C829" s="9"/>
      <c r="D829" s="9">
        <f t="shared" si="12"/>
        <v>29.01</v>
      </c>
      <c r="E829" s="11"/>
      <c r="F829" s="9"/>
    </row>
    <row r="830" s="1" customFormat="1" customHeight="1" spans="1:6">
      <c r="A830" s="9" t="str">
        <f>"10182102818"</f>
        <v>10182102818</v>
      </c>
      <c r="B830" s="10">
        <v>40.11</v>
      </c>
      <c r="C830" s="9"/>
      <c r="D830" s="9">
        <f t="shared" si="12"/>
        <v>40.11</v>
      </c>
      <c r="E830" s="11"/>
      <c r="F830" s="9"/>
    </row>
    <row r="831" s="1" customFormat="1" customHeight="1" spans="1:6">
      <c r="A831" s="9" t="str">
        <f>"10212102819"</f>
        <v>10212102819</v>
      </c>
      <c r="B831" s="10">
        <v>36.38</v>
      </c>
      <c r="C831" s="9"/>
      <c r="D831" s="9">
        <f t="shared" si="12"/>
        <v>36.38</v>
      </c>
      <c r="E831" s="11"/>
      <c r="F831" s="9"/>
    </row>
    <row r="832" s="1" customFormat="1" customHeight="1" spans="1:6">
      <c r="A832" s="9" t="str">
        <f>"10362102820"</f>
        <v>10362102820</v>
      </c>
      <c r="B832" s="10">
        <v>0</v>
      </c>
      <c r="C832" s="9"/>
      <c r="D832" s="9">
        <f t="shared" si="12"/>
        <v>0</v>
      </c>
      <c r="E832" s="11"/>
      <c r="F832" s="9" t="s">
        <v>7</v>
      </c>
    </row>
    <row r="833" s="1" customFormat="1" customHeight="1" spans="1:6">
      <c r="A833" s="9" t="str">
        <f>"10212102821"</f>
        <v>10212102821</v>
      </c>
      <c r="B833" s="10">
        <v>0</v>
      </c>
      <c r="C833" s="9"/>
      <c r="D833" s="9">
        <f t="shared" si="12"/>
        <v>0</v>
      </c>
      <c r="E833" s="11"/>
      <c r="F833" s="9" t="s">
        <v>7</v>
      </c>
    </row>
    <row r="834" s="1" customFormat="1" customHeight="1" spans="1:6">
      <c r="A834" s="9" t="str">
        <f>"20272102822"</f>
        <v>20272102822</v>
      </c>
      <c r="B834" s="10">
        <v>0</v>
      </c>
      <c r="C834" s="9"/>
      <c r="D834" s="9">
        <f t="shared" si="12"/>
        <v>0</v>
      </c>
      <c r="E834" s="11"/>
      <c r="F834" s="9" t="s">
        <v>7</v>
      </c>
    </row>
    <row r="835" s="1" customFormat="1" customHeight="1" spans="1:6">
      <c r="A835" s="9" t="str">
        <f>"10062102823"</f>
        <v>10062102823</v>
      </c>
      <c r="B835" s="10">
        <v>54.67</v>
      </c>
      <c r="C835" s="9"/>
      <c r="D835" s="9">
        <f t="shared" ref="D835:D898" si="13">SUM(B835:C835)</f>
        <v>54.67</v>
      </c>
      <c r="E835" s="11"/>
      <c r="F835" s="9"/>
    </row>
    <row r="836" s="1" customFormat="1" customHeight="1" spans="1:6">
      <c r="A836" s="9" t="str">
        <f>"10362102824"</f>
        <v>10362102824</v>
      </c>
      <c r="B836" s="10">
        <v>43.03</v>
      </c>
      <c r="C836" s="9"/>
      <c r="D836" s="9">
        <f t="shared" si="13"/>
        <v>43.03</v>
      </c>
      <c r="E836" s="11"/>
      <c r="F836" s="9"/>
    </row>
    <row r="837" s="1" customFormat="1" customHeight="1" spans="1:6">
      <c r="A837" s="9" t="str">
        <f>"10042102825"</f>
        <v>10042102825</v>
      </c>
      <c r="B837" s="10">
        <v>38.44</v>
      </c>
      <c r="C837" s="9"/>
      <c r="D837" s="9">
        <f t="shared" si="13"/>
        <v>38.44</v>
      </c>
      <c r="E837" s="11"/>
      <c r="F837" s="9"/>
    </row>
    <row r="838" s="1" customFormat="1" customHeight="1" spans="1:6">
      <c r="A838" s="9" t="str">
        <f>"10322102826"</f>
        <v>10322102826</v>
      </c>
      <c r="B838" s="10">
        <v>0</v>
      </c>
      <c r="C838" s="9"/>
      <c r="D838" s="9">
        <f t="shared" si="13"/>
        <v>0</v>
      </c>
      <c r="E838" s="11"/>
      <c r="F838" s="9" t="s">
        <v>7</v>
      </c>
    </row>
    <row r="839" s="1" customFormat="1" customHeight="1" spans="1:6">
      <c r="A839" s="9" t="str">
        <f>"10272102827"</f>
        <v>10272102827</v>
      </c>
      <c r="B839" s="10">
        <v>33.42</v>
      </c>
      <c r="C839" s="9"/>
      <c r="D839" s="9">
        <f t="shared" si="13"/>
        <v>33.42</v>
      </c>
      <c r="E839" s="11"/>
      <c r="F839" s="9"/>
    </row>
    <row r="840" s="1" customFormat="1" customHeight="1" spans="1:6">
      <c r="A840" s="9" t="str">
        <f>"10512102828"</f>
        <v>10512102828</v>
      </c>
      <c r="B840" s="10">
        <v>38.05</v>
      </c>
      <c r="C840" s="9"/>
      <c r="D840" s="9">
        <f t="shared" si="13"/>
        <v>38.05</v>
      </c>
      <c r="E840" s="11"/>
      <c r="F840" s="9"/>
    </row>
    <row r="841" s="1" customFormat="1" customHeight="1" spans="1:6">
      <c r="A841" s="9" t="str">
        <f>"10102102829"</f>
        <v>10102102829</v>
      </c>
      <c r="B841" s="10">
        <v>42.7</v>
      </c>
      <c r="C841" s="9"/>
      <c r="D841" s="9">
        <f t="shared" si="13"/>
        <v>42.7</v>
      </c>
      <c r="E841" s="11"/>
      <c r="F841" s="9"/>
    </row>
    <row r="842" s="1" customFormat="1" customHeight="1" spans="1:6">
      <c r="A842" s="9" t="str">
        <f>"10172102830"</f>
        <v>10172102830</v>
      </c>
      <c r="B842" s="10">
        <v>38.77</v>
      </c>
      <c r="C842" s="9"/>
      <c r="D842" s="9">
        <f t="shared" si="13"/>
        <v>38.77</v>
      </c>
      <c r="E842" s="11"/>
      <c r="F842" s="9"/>
    </row>
    <row r="843" s="1" customFormat="1" customHeight="1" spans="1:6">
      <c r="A843" s="9" t="str">
        <f>"10522102901"</f>
        <v>10522102901</v>
      </c>
      <c r="B843" s="10">
        <v>0</v>
      </c>
      <c r="C843" s="9"/>
      <c r="D843" s="9">
        <f t="shared" si="13"/>
        <v>0</v>
      </c>
      <c r="E843" s="11"/>
      <c r="F843" s="9" t="s">
        <v>7</v>
      </c>
    </row>
    <row r="844" s="1" customFormat="1" customHeight="1" spans="1:6">
      <c r="A844" s="9" t="str">
        <f>"10142102902"</f>
        <v>10142102902</v>
      </c>
      <c r="B844" s="10">
        <v>50.49</v>
      </c>
      <c r="C844" s="9"/>
      <c r="D844" s="9">
        <f t="shared" si="13"/>
        <v>50.49</v>
      </c>
      <c r="E844" s="11"/>
      <c r="F844" s="9"/>
    </row>
    <row r="845" s="1" customFormat="1" customHeight="1" spans="1:6">
      <c r="A845" s="9" t="str">
        <f>"10502102903"</f>
        <v>10502102903</v>
      </c>
      <c r="B845" s="10">
        <v>0</v>
      </c>
      <c r="C845" s="9"/>
      <c r="D845" s="9">
        <f t="shared" si="13"/>
        <v>0</v>
      </c>
      <c r="E845" s="11"/>
      <c r="F845" s="9" t="s">
        <v>7</v>
      </c>
    </row>
    <row r="846" s="1" customFormat="1" customHeight="1" spans="1:6">
      <c r="A846" s="9" t="str">
        <f>"10532102904"</f>
        <v>10532102904</v>
      </c>
      <c r="B846" s="10">
        <v>36.63</v>
      </c>
      <c r="C846" s="9"/>
      <c r="D846" s="9">
        <f t="shared" si="13"/>
        <v>36.63</v>
      </c>
      <c r="E846" s="11"/>
      <c r="F846" s="9"/>
    </row>
    <row r="847" s="1" customFormat="1" customHeight="1" spans="1:6">
      <c r="A847" s="9" t="str">
        <f>"10532102905"</f>
        <v>10532102905</v>
      </c>
      <c r="B847" s="10">
        <v>38.44</v>
      </c>
      <c r="C847" s="9"/>
      <c r="D847" s="9">
        <f t="shared" si="13"/>
        <v>38.44</v>
      </c>
      <c r="E847" s="11"/>
      <c r="F847" s="9"/>
    </row>
    <row r="848" s="1" customFormat="1" customHeight="1" spans="1:6">
      <c r="A848" s="9" t="str">
        <f>"10502102906"</f>
        <v>10502102906</v>
      </c>
      <c r="B848" s="10">
        <v>44.04</v>
      </c>
      <c r="C848" s="9"/>
      <c r="D848" s="9">
        <f t="shared" si="13"/>
        <v>44.04</v>
      </c>
      <c r="E848" s="11"/>
      <c r="F848" s="9"/>
    </row>
    <row r="849" s="1" customFormat="1" customHeight="1" spans="1:6">
      <c r="A849" s="9" t="str">
        <f>"10362102907"</f>
        <v>10362102907</v>
      </c>
      <c r="B849" s="10">
        <v>40.16</v>
      </c>
      <c r="C849" s="9"/>
      <c r="D849" s="9">
        <f t="shared" si="13"/>
        <v>40.16</v>
      </c>
      <c r="E849" s="11"/>
      <c r="F849" s="9"/>
    </row>
    <row r="850" s="1" customFormat="1" customHeight="1" spans="1:6">
      <c r="A850" s="9" t="str">
        <f>"10292102908"</f>
        <v>10292102908</v>
      </c>
      <c r="B850" s="10">
        <v>49.64</v>
      </c>
      <c r="C850" s="9"/>
      <c r="D850" s="9">
        <f t="shared" si="13"/>
        <v>49.64</v>
      </c>
      <c r="E850" s="11"/>
      <c r="F850" s="9"/>
    </row>
    <row r="851" s="1" customFormat="1" customHeight="1" spans="1:6">
      <c r="A851" s="9" t="str">
        <f>"20272102909"</f>
        <v>20272102909</v>
      </c>
      <c r="B851" s="10">
        <v>38.93</v>
      </c>
      <c r="C851" s="9"/>
      <c r="D851" s="9">
        <f t="shared" si="13"/>
        <v>38.93</v>
      </c>
      <c r="E851" s="11"/>
      <c r="F851" s="9"/>
    </row>
    <row r="852" s="1" customFormat="1" customHeight="1" spans="1:6">
      <c r="A852" s="9" t="str">
        <f>"10212102910"</f>
        <v>10212102910</v>
      </c>
      <c r="B852" s="10">
        <v>38.26</v>
      </c>
      <c r="C852" s="9"/>
      <c r="D852" s="9">
        <f t="shared" si="13"/>
        <v>38.26</v>
      </c>
      <c r="E852" s="11"/>
      <c r="F852" s="9"/>
    </row>
    <row r="853" s="1" customFormat="1" customHeight="1" spans="1:6">
      <c r="A853" s="9" t="str">
        <f>"10012102911"</f>
        <v>10012102911</v>
      </c>
      <c r="B853" s="10">
        <v>0</v>
      </c>
      <c r="C853" s="9"/>
      <c r="D853" s="9">
        <f t="shared" si="13"/>
        <v>0</v>
      </c>
      <c r="E853" s="11"/>
      <c r="F853" s="9" t="s">
        <v>7</v>
      </c>
    </row>
    <row r="854" s="1" customFormat="1" customHeight="1" spans="1:6">
      <c r="A854" s="9" t="str">
        <f>"10092102912"</f>
        <v>10092102912</v>
      </c>
      <c r="B854" s="10">
        <v>0</v>
      </c>
      <c r="C854" s="9"/>
      <c r="D854" s="9">
        <f t="shared" si="13"/>
        <v>0</v>
      </c>
      <c r="E854" s="11"/>
      <c r="F854" s="9" t="s">
        <v>7</v>
      </c>
    </row>
    <row r="855" s="1" customFormat="1" customHeight="1" spans="1:6">
      <c r="A855" s="9" t="str">
        <f>"10442102913"</f>
        <v>10442102913</v>
      </c>
      <c r="B855" s="10">
        <v>38.33</v>
      </c>
      <c r="C855" s="9"/>
      <c r="D855" s="9">
        <f t="shared" si="13"/>
        <v>38.33</v>
      </c>
      <c r="E855" s="11"/>
      <c r="F855" s="9"/>
    </row>
    <row r="856" s="1" customFormat="1" customHeight="1" spans="1:6">
      <c r="A856" s="9" t="str">
        <f>"10522102914"</f>
        <v>10522102914</v>
      </c>
      <c r="B856" s="10">
        <v>38.24</v>
      </c>
      <c r="C856" s="9"/>
      <c r="D856" s="9">
        <f t="shared" si="13"/>
        <v>38.24</v>
      </c>
      <c r="E856" s="11"/>
      <c r="F856" s="9"/>
    </row>
    <row r="857" s="1" customFormat="1" customHeight="1" spans="1:6">
      <c r="A857" s="9" t="str">
        <f>"10062102915"</f>
        <v>10062102915</v>
      </c>
      <c r="B857" s="10">
        <v>39.22</v>
      </c>
      <c r="C857" s="9"/>
      <c r="D857" s="9">
        <f t="shared" si="13"/>
        <v>39.22</v>
      </c>
      <c r="E857" s="11"/>
      <c r="F857" s="9"/>
    </row>
    <row r="858" s="1" customFormat="1" customHeight="1" spans="1:6">
      <c r="A858" s="9" t="str">
        <f>"10302102916"</f>
        <v>10302102916</v>
      </c>
      <c r="B858" s="10">
        <v>41.13</v>
      </c>
      <c r="C858" s="9"/>
      <c r="D858" s="9">
        <f t="shared" si="13"/>
        <v>41.13</v>
      </c>
      <c r="E858" s="11"/>
      <c r="F858" s="9"/>
    </row>
    <row r="859" s="1" customFormat="1" customHeight="1" spans="1:6">
      <c r="A859" s="9" t="str">
        <f>"10532102917"</f>
        <v>10532102917</v>
      </c>
      <c r="B859" s="10">
        <v>0</v>
      </c>
      <c r="C859" s="9"/>
      <c r="D859" s="9">
        <f t="shared" si="13"/>
        <v>0</v>
      </c>
      <c r="E859" s="11"/>
      <c r="F859" s="9" t="s">
        <v>7</v>
      </c>
    </row>
    <row r="860" s="1" customFormat="1" customHeight="1" spans="1:6">
      <c r="A860" s="9" t="str">
        <f>"10142102918"</f>
        <v>10142102918</v>
      </c>
      <c r="B860" s="10">
        <v>48.29</v>
      </c>
      <c r="C860" s="9"/>
      <c r="D860" s="9">
        <f t="shared" si="13"/>
        <v>48.29</v>
      </c>
      <c r="E860" s="11"/>
      <c r="F860" s="9"/>
    </row>
    <row r="861" s="1" customFormat="1" customHeight="1" spans="1:6">
      <c r="A861" s="9" t="str">
        <f>"10512102919"</f>
        <v>10512102919</v>
      </c>
      <c r="B861" s="10">
        <v>32.25</v>
      </c>
      <c r="C861" s="9"/>
      <c r="D861" s="9">
        <f t="shared" si="13"/>
        <v>32.25</v>
      </c>
      <c r="E861" s="11"/>
      <c r="F861" s="9"/>
    </row>
    <row r="862" s="1" customFormat="1" customHeight="1" spans="1:6">
      <c r="A862" s="9" t="str">
        <f>"10182102920"</f>
        <v>10182102920</v>
      </c>
      <c r="B862" s="10">
        <v>45.28</v>
      </c>
      <c r="C862" s="9"/>
      <c r="D862" s="9">
        <f t="shared" si="13"/>
        <v>45.28</v>
      </c>
      <c r="E862" s="11"/>
      <c r="F862" s="9"/>
    </row>
    <row r="863" s="1" customFormat="1" customHeight="1" spans="1:6">
      <c r="A863" s="9" t="str">
        <f>"20272102921"</f>
        <v>20272102921</v>
      </c>
      <c r="B863" s="10">
        <v>37.73</v>
      </c>
      <c r="C863" s="9"/>
      <c r="D863" s="9">
        <f t="shared" si="13"/>
        <v>37.73</v>
      </c>
      <c r="E863" s="11"/>
      <c r="F863" s="9"/>
    </row>
    <row r="864" s="1" customFormat="1" customHeight="1" spans="1:6">
      <c r="A864" s="9" t="str">
        <f>"10452102922"</f>
        <v>10452102922</v>
      </c>
      <c r="B864" s="10">
        <v>36.71</v>
      </c>
      <c r="C864" s="9"/>
      <c r="D864" s="9">
        <f t="shared" si="13"/>
        <v>36.71</v>
      </c>
      <c r="E864" s="11"/>
      <c r="F864" s="9"/>
    </row>
    <row r="865" s="1" customFormat="1" customHeight="1" spans="1:6">
      <c r="A865" s="9" t="str">
        <f>"10362102923"</f>
        <v>10362102923</v>
      </c>
      <c r="B865" s="10">
        <v>0</v>
      </c>
      <c r="C865" s="9"/>
      <c r="D865" s="9">
        <f t="shared" si="13"/>
        <v>0</v>
      </c>
      <c r="E865" s="11"/>
      <c r="F865" s="9" t="s">
        <v>7</v>
      </c>
    </row>
    <row r="866" s="1" customFormat="1" customHeight="1" spans="1:6">
      <c r="A866" s="9" t="str">
        <f>"10282102924"</f>
        <v>10282102924</v>
      </c>
      <c r="B866" s="10">
        <v>0</v>
      </c>
      <c r="C866" s="9"/>
      <c r="D866" s="9">
        <f t="shared" si="13"/>
        <v>0</v>
      </c>
      <c r="E866" s="11"/>
      <c r="F866" s="9" t="s">
        <v>7</v>
      </c>
    </row>
    <row r="867" s="1" customFormat="1" customHeight="1" spans="1:6">
      <c r="A867" s="9" t="str">
        <f>"10352102925"</f>
        <v>10352102925</v>
      </c>
      <c r="B867" s="10">
        <v>39.57</v>
      </c>
      <c r="C867" s="9"/>
      <c r="D867" s="9">
        <f t="shared" si="13"/>
        <v>39.57</v>
      </c>
      <c r="E867" s="11"/>
      <c r="F867" s="9"/>
    </row>
    <row r="868" s="1" customFormat="1" customHeight="1" spans="1:6">
      <c r="A868" s="9" t="str">
        <f>"10362102926"</f>
        <v>10362102926</v>
      </c>
      <c r="B868" s="10">
        <v>34.81</v>
      </c>
      <c r="C868" s="9">
        <v>10</v>
      </c>
      <c r="D868" s="9">
        <f t="shared" si="13"/>
        <v>44.81</v>
      </c>
      <c r="E868" s="12" t="s">
        <v>8</v>
      </c>
      <c r="F868" s="9"/>
    </row>
    <row r="869" s="1" customFormat="1" customHeight="1" spans="1:6">
      <c r="A869" s="9" t="str">
        <f>"10532102927"</f>
        <v>10532102927</v>
      </c>
      <c r="B869" s="10">
        <v>0</v>
      </c>
      <c r="C869" s="9"/>
      <c r="D869" s="9">
        <f t="shared" si="13"/>
        <v>0</v>
      </c>
      <c r="E869" s="11"/>
      <c r="F869" s="9" t="s">
        <v>7</v>
      </c>
    </row>
    <row r="870" s="1" customFormat="1" customHeight="1" spans="1:6">
      <c r="A870" s="9" t="str">
        <f>"10342102928"</f>
        <v>10342102928</v>
      </c>
      <c r="B870" s="10">
        <v>55.21</v>
      </c>
      <c r="C870" s="9"/>
      <c r="D870" s="9">
        <f t="shared" si="13"/>
        <v>55.21</v>
      </c>
      <c r="E870" s="11"/>
      <c r="F870" s="9"/>
    </row>
    <row r="871" s="1" customFormat="1" customHeight="1" spans="1:6">
      <c r="A871" s="9" t="str">
        <f>"10082102929"</f>
        <v>10082102929</v>
      </c>
      <c r="B871" s="10">
        <v>44.95</v>
      </c>
      <c r="C871" s="9"/>
      <c r="D871" s="9">
        <f t="shared" si="13"/>
        <v>44.95</v>
      </c>
      <c r="E871" s="11"/>
      <c r="F871" s="9"/>
    </row>
    <row r="872" s="1" customFormat="1" customHeight="1" spans="1:6">
      <c r="A872" s="9" t="str">
        <f>"10362102930"</f>
        <v>10362102930</v>
      </c>
      <c r="B872" s="10">
        <v>34.47</v>
      </c>
      <c r="C872" s="9"/>
      <c r="D872" s="9">
        <f t="shared" si="13"/>
        <v>34.47</v>
      </c>
      <c r="E872" s="11"/>
      <c r="F872" s="9"/>
    </row>
    <row r="873" s="1" customFormat="1" customHeight="1" spans="1:6">
      <c r="A873" s="9" t="str">
        <f>"10132103001"</f>
        <v>10132103001</v>
      </c>
      <c r="B873" s="10">
        <v>37.5</v>
      </c>
      <c r="C873" s="9"/>
      <c r="D873" s="9">
        <f t="shared" si="13"/>
        <v>37.5</v>
      </c>
      <c r="E873" s="11"/>
      <c r="F873" s="9"/>
    </row>
    <row r="874" s="1" customFormat="1" customHeight="1" spans="1:6">
      <c r="A874" s="9" t="str">
        <f>"10302103002"</f>
        <v>10302103002</v>
      </c>
      <c r="B874" s="10">
        <v>38</v>
      </c>
      <c r="C874" s="9"/>
      <c r="D874" s="9">
        <f t="shared" si="13"/>
        <v>38</v>
      </c>
      <c r="E874" s="11"/>
      <c r="F874" s="9"/>
    </row>
    <row r="875" s="1" customFormat="1" customHeight="1" spans="1:6">
      <c r="A875" s="9" t="str">
        <f>"10532103003"</f>
        <v>10532103003</v>
      </c>
      <c r="B875" s="10">
        <v>31.75</v>
      </c>
      <c r="C875" s="9"/>
      <c r="D875" s="9">
        <f t="shared" si="13"/>
        <v>31.75</v>
      </c>
      <c r="E875" s="11"/>
      <c r="F875" s="9"/>
    </row>
    <row r="876" s="1" customFormat="1" customHeight="1" spans="1:6">
      <c r="A876" s="9" t="str">
        <f>"10452103004"</f>
        <v>10452103004</v>
      </c>
      <c r="B876" s="10">
        <v>41.12</v>
      </c>
      <c r="C876" s="9"/>
      <c r="D876" s="9">
        <f t="shared" si="13"/>
        <v>41.12</v>
      </c>
      <c r="E876" s="11"/>
      <c r="F876" s="9"/>
    </row>
    <row r="877" s="1" customFormat="1" customHeight="1" spans="1:6">
      <c r="A877" s="9" t="str">
        <f>"10532103005"</f>
        <v>10532103005</v>
      </c>
      <c r="B877" s="10">
        <v>36.62</v>
      </c>
      <c r="C877" s="9">
        <v>10</v>
      </c>
      <c r="D877" s="9">
        <f t="shared" si="13"/>
        <v>46.62</v>
      </c>
      <c r="E877" s="12" t="s">
        <v>8</v>
      </c>
      <c r="F877" s="9"/>
    </row>
    <row r="878" s="1" customFormat="1" customHeight="1" spans="1:6">
      <c r="A878" s="9" t="str">
        <f>"10362103006"</f>
        <v>10362103006</v>
      </c>
      <c r="B878" s="10">
        <v>0</v>
      </c>
      <c r="C878" s="9"/>
      <c r="D878" s="9">
        <f t="shared" si="13"/>
        <v>0</v>
      </c>
      <c r="E878" s="11"/>
      <c r="F878" s="9" t="s">
        <v>7</v>
      </c>
    </row>
    <row r="879" s="1" customFormat="1" customHeight="1" spans="1:6">
      <c r="A879" s="9" t="str">
        <f>"10062103007"</f>
        <v>10062103007</v>
      </c>
      <c r="B879" s="10">
        <v>0</v>
      </c>
      <c r="C879" s="9"/>
      <c r="D879" s="9">
        <f t="shared" si="13"/>
        <v>0</v>
      </c>
      <c r="E879" s="11"/>
      <c r="F879" s="9" t="s">
        <v>7</v>
      </c>
    </row>
    <row r="880" s="1" customFormat="1" customHeight="1" spans="1:6">
      <c r="A880" s="9" t="str">
        <f>"10232103008"</f>
        <v>10232103008</v>
      </c>
      <c r="B880" s="10">
        <v>0</v>
      </c>
      <c r="C880" s="9"/>
      <c r="D880" s="9">
        <f t="shared" si="13"/>
        <v>0</v>
      </c>
      <c r="E880" s="11"/>
      <c r="F880" s="9" t="s">
        <v>7</v>
      </c>
    </row>
    <row r="881" s="1" customFormat="1" customHeight="1" spans="1:6">
      <c r="A881" s="9" t="str">
        <f>"10452103009"</f>
        <v>10452103009</v>
      </c>
      <c r="B881" s="10">
        <v>44.45</v>
      </c>
      <c r="C881" s="9"/>
      <c r="D881" s="9">
        <f t="shared" si="13"/>
        <v>44.45</v>
      </c>
      <c r="E881" s="11"/>
      <c r="F881" s="9"/>
    </row>
    <row r="882" s="1" customFormat="1" customHeight="1" spans="1:6">
      <c r="A882" s="9" t="str">
        <f>"10362103010"</f>
        <v>10362103010</v>
      </c>
      <c r="B882" s="10">
        <v>38.45</v>
      </c>
      <c r="C882" s="9"/>
      <c r="D882" s="9">
        <f t="shared" si="13"/>
        <v>38.45</v>
      </c>
      <c r="E882" s="11"/>
      <c r="F882" s="9"/>
    </row>
    <row r="883" s="1" customFormat="1" customHeight="1" spans="1:6">
      <c r="A883" s="9" t="str">
        <f>"10512103011"</f>
        <v>10512103011</v>
      </c>
      <c r="B883" s="10">
        <v>0</v>
      </c>
      <c r="C883" s="9"/>
      <c r="D883" s="9">
        <f t="shared" si="13"/>
        <v>0</v>
      </c>
      <c r="E883" s="11"/>
      <c r="F883" s="9" t="s">
        <v>7</v>
      </c>
    </row>
    <row r="884" s="1" customFormat="1" customHeight="1" spans="1:6">
      <c r="A884" s="9" t="str">
        <f>"10062103012"</f>
        <v>10062103012</v>
      </c>
      <c r="B884" s="10">
        <v>35.15</v>
      </c>
      <c r="C884" s="9"/>
      <c r="D884" s="9">
        <f t="shared" si="13"/>
        <v>35.15</v>
      </c>
      <c r="E884" s="11"/>
      <c r="F884" s="9"/>
    </row>
    <row r="885" s="1" customFormat="1" customHeight="1" spans="1:6">
      <c r="A885" s="9" t="str">
        <f>"10202103013"</f>
        <v>10202103013</v>
      </c>
      <c r="B885" s="10">
        <v>41.59</v>
      </c>
      <c r="C885" s="9"/>
      <c r="D885" s="9">
        <f t="shared" si="13"/>
        <v>41.59</v>
      </c>
      <c r="E885" s="11"/>
      <c r="F885" s="9"/>
    </row>
    <row r="886" s="1" customFormat="1" customHeight="1" spans="1:6">
      <c r="A886" s="9" t="str">
        <f>"10362103014"</f>
        <v>10362103014</v>
      </c>
      <c r="B886" s="10">
        <v>41.18</v>
      </c>
      <c r="C886" s="9"/>
      <c r="D886" s="9">
        <f t="shared" si="13"/>
        <v>41.18</v>
      </c>
      <c r="E886" s="11"/>
      <c r="F886" s="9"/>
    </row>
    <row r="887" s="1" customFormat="1" customHeight="1" spans="1:6">
      <c r="A887" s="9" t="str">
        <f>"10532103015"</f>
        <v>10532103015</v>
      </c>
      <c r="B887" s="10">
        <v>0</v>
      </c>
      <c r="C887" s="9"/>
      <c r="D887" s="9">
        <f t="shared" si="13"/>
        <v>0</v>
      </c>
      <c r="E887" s="11"/>
      <c r="F887" s="9" t="s">
        <v>7</v>
      </c>
    </row>
    <row r="888" s="1" customFormat="1" customHeight="1" spans="1:6">
      <c r="A888" s="9" t="str">
        <f>"10362103016"</f>
        <v>10362103016</v>
      </c>
      <c r="B888" s="10">
        <v>42.44</v>
      </c>
      <c r="C888" s="9"/>
      <c r="D888" s="9">
        <f t="shared" si="13"/>
        <v>42.44</v>
      </c>
      <c r="E888" s="11"/>
      <c r="F888" s="9"/>
    </row>
    <row r="889" s="1" customFormat="1" customHeight="1" spans="1:6">
      <c r="A889" s="9" t="str">
        <f>"10362103017"</f>
        <v>10362103017</v>
      </c>
      <c r="B889" s="10">
        <v>0</v>
      </c>
      <c r="C889" s="9"/>
      <c r="D889" s="9">
        <f t="shared" si="13"/>
        <v>0</v>
      </c>
      <c r="E889" s="11"/>
      <c r="F889" s="9" t="s">
        <v>7</v>
      </c>
    </row>
    <row r="890" s="1" customFormat="1" customHeight="1" spans="1:6">
      <c r="A890" s="9" t="str">
        <f>"10502103018"</f>
        <v>10502103018</v>
      </c>
      <c r="B890" s="10">
        <v>44.02</v>
      </c>
      <c r="C890" s="9"/>
      <c r="D890" s="9">
        <f t="shared" si="13"/>
        <v>44.02</v>
      </c>
      <c r="E890" s="11"/>
      <c r="F890" s="9"/>
    </row>
    <row r="891" s="1" customFormat="1" customHeight="1" spans="1:6">
      <c r="A891" s="9" t="str">
        <f>"10362103019"</f>
        <v>10362103019</v>
      </c>
      <c r="B891" s="10">
        <v>0</v>
      </c>
      <c r="C891" s="9"/>
      <c r="D891" s="9">
        <f t="shared" si="13"/>
        <v>0</v>
      </c>
      <c r="E891" s="11"/>
      <c r="F891" s="9" t="s">
        <v>7</v>
      </c>
    </row>
    <row r="892" s="1" customFormat="1" customHeight="1" spans="1:6">
      <c r="A892" s="9" t="str">
        <f>"10362103020"</f>
        <v>10362103020</v>
      </c>
      <c r="B892" s="10">
        <v>0</v>
      </c>
      <c r="C892" s="9"/>
      <c r="D892" s="9">
        <f t="shared" si="13"/>
        <v>0</v>
      </c>
      <c r="E892" s="11"/>
      <c r="F892" s="9" t="s">
        <v>7</v>
      </c>
    </row>
    <row r="893" s="1" customFormat="1" customHeight="1" spans="1:6">
      <c r="A893" s="9" t="str">
        <f>"10212103021"</f>
        <v>10212103021</v>
      </c>
      <c r="B893" s="10">
        <v>0</v>
      </c>
      <c r="C893" s="9"/>
      <c r="D893" s="9">
        <f t="shared" si="13"/>
        <v>0</v>
      </c>
      <c r="E893" s="11"/>
      <c r="F893" s="9" t="s">
        <v>7</v>
      </c>
    </row>
    <row r="894" s="1" customFormat="1" customHeight="1" spans="1:6">
      <c r="A894" s="9" t="str">
        <f>"10362103022"</f>
        <v>10362103022</v>
      </c>
      <c r="B894" s="10">
        <v>0</v>
      </c>
      <c r="C894" s="9"/>
      <c r="D894" s="9">
        <f t="shared" si="13"/>
        <v>0</v>
      </c>
      <c r="E894" s="11"/>
      <c r="F894" s="9" t="s">
        <v>7</v>
      </c>
    </row>
    <row r="895" s="1" customFormat="1" customHeight="1" spans="1:6">
      <c r="A895" s="9" t="str">
        <f>"10362103023"</f>
        <v>10362103023</v>
      </c>
      <c r="B895" s="10">
        <v>36.26</v>
      </c>
      <c r="C895" s="9"/>
      <c r="D895" s="9">
        <f t="shared" si="13"/>
        <v>36.26</v>
      </c>
      <c r="E895" s="11"/>
      <c r="F895" s="9"/>
    </row>
    <row r="896" s="1" customFormat="1" customHeight="1" spans="1:6">
      <c r="A896" s="9" t="str">
        <f>"10332103024"</f>
        <v>10332103024</v>
      </c>
      <c r="B896" s="10">
        <v>0</v>
      </c>
      <c r="C896" s="9"/>
      <c r="D896" s="9">
        <f t="shared" si="13"/>
        <v>0</v>
      </c>
      <c r="E896" s="11"/>
      <c r="F896" s="9" t="s">
        <v>7</v>
      </c>
    </row>
    <row r="897" s="1" customFormat="1" customHeight="1" spans="1:6">
      <c r="A897" s="9" t="str">
        <f>"10292103025"</f>
        <v>10292103025</v>
      </c>
      <c r="B897" s="10">
        <v>52.03</v>
      </c>
      <c r="C897" s="9"/>
      <c r="D897" s="9">
        <f t="shared" si="13"/>
        <v>52.03</v>
      </c>
      <c r="E897" s="11"/>
      <c r="F897" s="9"/>
    </row>
    <row r="898" s="1" customFormat="1" customHeight="1" spans="1:6">
      <c r="A898" s="9" t="str">
        <f>"10362103026"</f>
        <v>10362103026</v>
      </c>
      <c r="B898" s="10">
        <v>30.82</v>
      </c>
      <c r="C898" s="9">
        <v>10</v>
      </c>
      <c r="D898" s="9">
        <f t="shared" si="13"/>
        <v>40.82</v>
      </c>
      <c r="E898" s="12" t="s">
        <v>8</v>
      </c>
      <c r="F898" s="9"/>
    </row>
    <row r="899" s="1" customFormat="1" customHeight="1" spans="1:6">
      <c r="A899" s="9" t="str">
        <f>"10362103027"</f>
        <v>10362103027</v>
      </c>
      <c r="B899" s="10">
        <v>28.43</v>
      </c>
      <c r="C899" s="9"/>
      <c r="D899" s="9">
        <f t="shared" ref="D899:D962" si="14">SUM(B899:C899)</f>
        <v>28.43</v>
      </c>
      <c r="E899" s="11"/>
      <c r="F899" s="9"/>
    </row>
    <row r="900" s="1" customFormat="1" customHeight="1" spans="1:6">
      <c r="A900" s="9" t="str">
        <f>"10022103028"</f>
        <v>10022103028</v>
      </c>
      <c r="B900" s="10">
        <v>35.35</v>
      </c>
      <c r="C900" s="9"/>
      <c r="D900" s="9">
        <f t="shared" si="14"/>
        <v>35.35</v>
      </c>
      <c r="E900" s="11"/>
      <c r="F900" s="9"/>
    </row>
    <row r="901" s="1" customFormat="1" customHeight="1" spans="1:6">
      <c r="A901" s="9" t="str">
        <f>"10362103029"</f>
        <v>10362103029</v>
      </c>
      <c r="B901" s="10">
        <v>37.68</v>
      </c>
      <c r="C901" s="9"/>
      <c r="D901" s="9">
        <f t="shared" si="14"/>
        <v>37.68</v>
      </c>
      <c r="E901" s="11"/>
      <c r="F901" s="9"/>
    </row>
    <row r="902" s="1" customFormat="1" customHeight="1" spans="1:6">
      <c r="A902" s="9" t="str">
        <f>"10502103030"</f>
        <v>10502103030</v>
      </c>
      <c r="B902" s="10">
        <v>37.2</v>
      </c>
      <c r="C902" s="9"/>
      <c r="D902" s="9">
        <f t="shared" si="14"/>
        <v>37.2</v>
      </c>
      <c r="E902" s="11"/>
      <c r="F902" s="9"/>
    </row>
    <row r="903" s="1" customFormat="1" customHeight="1" spans="1:6">
      <c r="A903" s="9" t="str">
        <f>"10512103101"</f>
        <v>10512103101</v>
      </c>
      <c r="B903" s="10">
        <v>44.81</v>
      </c>
      <c r="C903" s="9"/>
      <c r="D903" s="9">
        <f t="shared" si="14"/>
        <v>44.81</v>
      </c>
      <c r="E903" s="11"/>
      <c r="F903" s="9"/>
    </row>
    <row r="904" s="1" customFormat="1" customHeight="1" spans="1:6">
      <c r="A904" s="9" t="str">
        <f>"10362103102"</f>
        <v>10362103102</v>
      </c>
      <c r="B904" s="10">
        <v>38.83</v>
      </c>
      <c r="C904" s="9"/>
      <c r="D904" s="9">
        <f t="shared" si="14"/>
        <v>38.83</v>
      </c>
      <c r="E904" s="11"/>
      <c r="F904" s="9"/>
    </row>
    <row r="905" s="1" customFormat="1" customHeight="1" spans="1:6">
      <c r="A905" s="9" t="str">
        <f>"10532103103"</f>
        <v>10532103103</v>
      </c>
      <c r="B905" s="10">
        <v>0</v>
      </c>
      <c r="C905" s="9"/>
      <c r="D905" s="9">
        <f t="shared" si="14"/>
        <v>0</v>
      </c>
      <c r="E905" s="11"/>
      <c r="F905" s="9" t="s">
        <v>7</v>
      </c>
    </row>
    <row r="906" s="1" customFormat="1" customHeight="1" spans="1:6">
      <c r="A906" s="9" t="str">
        <f>"10532103104"</f>
        <v>10532103104</v>
      </c>
      <c r="B906" s="10">
        <v>38.47</v>
      </c>
      <c r="C906" s="9"/>
      <c r="D906" s="9">
        <f t="shared" si="14"/>
        <v>38.47</v>
      </c>
      <c r="E906" s="11"/>
      <c r="F906" s="9"/>
    </row>
    <row r="907" s="1" customFormat="1" customHeight="1" spans="1:6">
      <c r="A907" s="9" t="str">
        <f>"10332103105"</f>
        <v>10332103105</v>
      </c>
      <c r="B907" s="10">
        <v>0</v>
      </c>
      <c r="C907" s="9"/>
      <c r="D907" s="9">
        <f t="shared" si="14"/>
        <v>0</v>
      </c>
      <c r="E907" s="11"/>
      <c r="F907" s="9" t="s">
        <v>7</v>
      </c>
    </row>
    <row r="908" s="1" customFormat="1" customHeight="1" spans="1:6">
      <c r="A908" s="9" t="str">
        <f>"10362103106"</f>
        <v>10362103106</v>
      </c>
      <c r="B908" s="10">
        <v>39.31</v>
      </c>
      <c r="C908" s="9"/>
      <c r="D908" s="9">
        <f t="shared" si="14"/>
        <v>39.31</v>
      </c>
      <c r="E908" s="11"/>
      <c r="F908" s="9"/>
    </row>
    <row r="909" s="1" customFormat="1" customHeight="1" spans="1:6">
      <c r="A909" s="9" t="str">
        <f>"10362103107"</f>
        <v>10362103107</v>
      </c>
      <c r="B909" s="10">
        <v>0</v>
      </c>
      <c r="C909" s="9"/>
      <c r="D909" s="9">
        <f t="shared" si="14"/>
        <v>0</v>
      </c>
      <c r="E909" s="11"/>
      <c r="F909" s="9" t="s">
        <v>7</v>
      </c>
    </row>
    <row r="910" s="1" customFormat="1" customHeight="1" spans="1:6">
      <c r="A910" s="9" t="str">
        <f>"10302103108"</f>
        <v>10302103108</v>
      </c>
      <c r="B910" s="10">
        <v>0</v>
      </c>
      <c r="C910" s="9"/>
      <c r="D910" s="9">
        <f t="shared" si="14"/>
        <v>0</v>
      </c>
      <c r="E910" s="11"/>
      <c r="F910" s="9" t="s">
        <v>7</v>
      </c>
    </row>
    <row r="911" s="1" customFormat="1" customHeight="1" spans="1:6">
      <c r="A911" s="9" t="str">
        <f>"10292103109"</f>
        <v>10292103109</v>
      </c>
      <c r="B911" s="10">
        <v>0</v>
      </c>
      <c r="C911" s="9"/>
      <c r="D911" s="9">
        <f t="shared" si="14"/>
        <v>0</v>
      </c>
      <c r="E911" s="11"/>
      <c r="F911" s="9" t="s">
        <v>7</v>
      </c>
    </row>
    <row r="912" s="1" customFormat="1" customHeight="1" spans="1:6">
      <c r="A912" s="9" t="str">
        <f>"10392103110"</f>
        <v>10392103110</v>
      </c>
      <c r="B912" s="10">
        <v>34.32</v>
      </c>
      <c r="C912" s="9"/>
      <c r="D912" s="9">
        <f t="shared" si="14"/>
        <v>34.32</v>
      </c>
      <c r="E912" s="11"/>
      <c r="F912" s="9"/>
    </row>
    <row r="913" s="1" customFormat="1" customHeight="1" spans="1:6">
      <c r="A913" s="9" t="str">
        <f>"10452103111"</f>
        <v>10452103111</v>
      </c>
      <c r="B913" s="10">
        <v>50.46</v>
      </c>
      <c r="C913" s="9"/>
      <c r="D913" s="9">
        <f t="shared" si="14"/>
        <v>50.46</v>
      </c>
      <c r="E913" s="11"/>
      <c r="F913" s="9"/>
    </row>
    <row r="914" s="1" customFormat="1" customHeight="1" spans="1:6">
      <c r="A914" s="9" t="str">
        <f>"10532103112"</f>
        <v>10532103112</v>
      </c>
      <c r="B914" s="10">
        <v>0</v>
      </c>
      <c r="C914" s="9"/>
      <c r="D914" s="9">
        <f t="shared" si="14"/>
        <v>0</v>
      </c>
      <c r="E914" s="11"/>
      <c r="F914" s="9" t="s">
        <v>7</v>
      </c>
    </row>
    <row r="915" s="1" customFormat="1" customHeight="1" spans="1:6">
      <c r="A915" s="9" t="str">
        <f>"10362103113"</f>
        <v>10362103113</v>
      </c>
      <c r="B915" s="10">
        <v>29.22</v>
      </c>
      <c r="C915" s="9"/>
      <c r="D915" s="9">
        <f t="shared" si="14"/>
        <v>29.22</v>
      </c>
      <c r="E915" s="11"/>
      <c r="F915" s="9"/>
    </row>
    <row r="916" s="1" customFormat="1" customHeight="1" spans="1:6">
      <c r="A916" s="9" t="str">
        <f>"10362103114"</f>
        <v>10362103114</v>
      </c>
      <c r="B916" s="10">
        <v>0</v>
      </c>
      <c r="C916" s="9"/>
      <c r="D916" s="9">
        <f t="shared" si="14"/>
        <v>0</v>
      </c>
      <c r="E916" s="11"/>
      <c r="F916" s="9" t="s">
        <v>7</v>
      </c>
    </row>
    <row r="917" s="1" customFormat="1" customHeight="1" spans="1:6">
      <c r="A917" s="9" t="str">
        <f>"10362103115"</f>
        <v>10362103115</v>
      </c>
      <c r="B917" s="10">
        <v>0</v>
      </c>
      <c r="C917" s="9"/>
      <c r="D917" s="9">
        <f t="shared" si="14"/>
        <v>0</v>
      </c>
      <c r="E917" s="11"/>
      <c r="F917" s="9" t="s">
        <v>7</v>
      </c>
    </row>
    <row r="918" s="1" customFormat="1" customHeight="1" spans="1:6">
      <c r="A918" s="9" t="str">
        <f>"10362103116"</f>
        <v>10362103116</v>
      </c>
      <c r="B918" s="10">
        <v>30.51</v>
      </c>
      <c r="C918" s="9"/>
      <c r="D918" s="9">
        <f t="shared" si="14"/>
        <v>30.51</v>
      </c>
      <c r="E918" s="11"/>
      <c r="F918" s="9"/>
    </row>
    <row r="919" s="1" customFormat="1" customHeight="1" spans="1:6">
      <c r="A919" s="9" t="str">
        <f>"10332103117"</f>
        <v>10332103117</v>
      </c>
      <c r="B919" s="10">
        <v>38.74</v>
      </c>
      <c r="C919" s="9"/>
      <c r="D919" s="9">
        <f t="shared" si="14"/>
        <v>38.74</v>
      </c>
      <c r="E919" s="11"/>
      <c r="F919" s="9"/>
    </row>
    <row r="920" s="1" customFormat="1" customHeight="1" spans="1:6">
      <c r="A920" s="9" t="str">
        <f>"10062103118"</f>
        <v>10062103118</v>
      </c>
      <c r="B920" s="10">
        <v>30.2</v>
      </c>
      <c r="C920" s="9"/>
      <c r="D920" s="9">
        <f t="shared" si="14"/>
        <v>30.2</v>
      </c>
      <c r="E920" s="11"/>
      <c r="F920" s="9"/>
    </row>
    <row r="921" s="1" customFormat="1" customHeight="1" spans="1:6">
      <c r="A921" s="9" t="str">
        <f>"10302103119"</f>
        <v>10302103119</v>
      </c>
      <c r="B921" s="10">
        <v>45.69</v>
      </c>
      <c r="C921" s="9"/>
      <c r="D921" s="9">
        <f t="shared" si="14"/>
        <v>45.69</v>
      </c>
      <c r="E921" s="11"/>
      <c r="F921" s="9"/>
    </row>
    <row r="922" s="1" customFormat="1" customHeight="1" spans="1:6">
      <c r="A922" s="9" t="str">
        <f>"10062103120"</f>
        <v>10062103120</v>
      </c>
      <c r="B922" s="10">
        <v>45.91</v>
      </c>
      <c r="C922" s="9"/>
      <c r="D922" s="9">
        <f t="shared" si="14"/>
        <v>45.91</v>
      </c>
      <c r="E922" s="11"/>
      <c r="F922" s="9"/>
    </row>
    <row r="923" s="1" customFormat="1" customHeight="1" spans="1:6">
      <c r="A923" s="9" t="str">
        <f>"10362103121"</f>
        <v>10362103121</v>
      </c>
      <c r="B923" s="10">
        <v>0</v>
      </c>
      <c r="C923" s="9"/>
      <c r="D923" s="9">
        <f t="shared" si="14"/>
        <v>0</v>
      </c>
      <c r="E923" s="11"/>
      <c r="F923" s="9" t="s">
        <v>7</v>
      </c>
    </row>
    <row r="924" s="1" customFormat="1" customHeight="1" spans="1:6">
      <c r="A924" s="9" t="str">
        <f>"10332103122"</f>
        <v>10332103122</v>
      </c>
      <c r="B924" s="10">
        <v>41.7</v>
      </c>
      <c r="C924" s="9"/>
      <c r="D924" s="9">
        <f t="shared" si="14"/>
        <v>41.7</v>
      </c>
      <c r="E924" s="11"/>
      <c r="F924" s="9"/>
    </row>
    <row r="925" s="1" customFormat="1" customHeight="1" spans="1:6">
      <c r="A925" s="9" t="str">
        <f>"10362103123"</f>
        <v>10362103123</v>
      </c>
      <c r="B925" s="10">
        <v>0</v>
      </c>
      <c r="C925" s="9"/>
      <c r="D925" s="9">
        <f t="shared" si="14"/>
        <v>0</v>
      </c>
      <c r="E925" s="11"/>
      <c r="F925" s="9" t="s">
        <v>7</v>
      </c>
    </row>
    <row r="926" s="1" customFormat="1" customHeight="1" spans="1:6">
      <c r="A926" s="9" t="str">
        <f>"10362103124"</f>
        <v>10362103124</v>
      </c>
      <c r="B926" s="10">
        <v>0</v>
      </c>
      <c r="C926" s="9"/>
      <c r="D926" s="9">
        <f t="shared" si="14"/>
        <v>0</v>
      </c>
      <c r="E926" s="11"/>
      <c r="F926" s="9" t="s">
        <v>7</v>
      </c>
    </row>
    <row r="927" s="1" customFormat="1" customHeight="1" spans="1:6">
      <c r="A927" s="9" t="str">
        <f>"10362103125"</f>
        <v>10362103125</v>
      </c>
      <c r="B927" s="10">
        <v>32.92</v>
      </c>
      <c r="C927" s="9"/>
      <c r="D927" s="9">
        <f t="shared" si="14"/>
        <v>32.92</v>
      </c>
      <c r="E927" s="11"/>
      <c r="F927" s="9"/>
    </row>
    <row r="928" s="1" customFormat="1" customHeight="1" spans="1:6">
      <c r="A928" s="9" t="str">
        <f>"10362103126"</f>
        <v>10362103126</v>
      </c>
      <c r="B928" s="10">
        <v>0</v>
      </c>
      <c r="C928" s="9"/>
      <c r="D928" s="9">
        <f t="shared" si="14"/>
        <v>0</v>
      </c>
      <c r="E928" s="11"/>
      <c r="F928" s="9" t="s">
        <v>7</v>
      </c>
    </row>
    <row r="929" s="1" customFormat="1" customHeight="1" spans="1:6">
      <c r="A929" s="9" t="str">
        <f>"10512103127"</f>
        <v>10512103127</v>
      </c>
      <c r="B929" s="10">
        <v>37.45</v>
      </c>
      <c r="C929" s="9"/>
      <c r="D929" s="9">
        <f t="shared" si="14"/>
        <v>37.45</v>
      </c>
      <c r="E929" s="11"/>
      <c r="F929" s="9"/>
    </row>
    <row r="930" s="1" customFormat="1" customHeight="1" spans="1:6">
      <c r="A930" s="9" t="str">
        <f>"10522103128"</f>
        <v>10522103128</v>
      </c>
      <c r="B930" s="10">
        <v>0</v>
      </c>
      <c r="C930" s="9"/>
      <c r="D930" s="9">
        <f t="shared" si="14"/>
        <v>0</v>
      </c>
      <c r="E930" s="11"/>
      <c r="F930" s="9" t="s">
        <v>7</v>
      </c>
    </row>
    <row r="931" s="1" customFormat="1" customHeight="1" spans="1:6">
      <c r="A931" s="9" t="str">
        <f>"10102103129"</f>
        <v>10102103129</v>
      </c>
      <c r="B931" s="10">
        <v>40.78</v>
      </c>
      <c r="C931" s="9"/>
      <c r="D931" s="9">
        <f t="shared" si="14"/>
        <v>40.78</v>
      </c>
      <c r="E931" s="11"/>
      <c r="F931" s="9"/>
    </row>
    <row r="932" s="1" customFormat="1" customHeight="1" spans="1:6">
      <c r="A932" s="9" t="str">
        <f>"10132103130"</f>
        <v>10132103130</v>
      </c>
      <c r="B932" s="10">
        <v>47.49</v>
      </c>
      <c r="C932" s="9"/>
      <c r="D932" s="9">
        <f t="shared" si="14"/>
        <v>47.49</v>
      </c>
      <c r="E932" s="11"/>
      <c r="F932" s="9"/>
    </row>
    <row r="933" s="1" customFormat="1" customHeight="1" spans="1:6">
      <c r="A933" s="9" t="str">
        <f>"10512103201"</f>
        <v>10512103201</v>
      </c>
      <c r="B933" s="10">
        <v>42.18</v>
      </c>
      <c r="C933" s="9"/>
      <c r="D933" s="9">
        <f t="shared" si="14"/>
        <v>42.18</v>
      </c>
      <c r="E933" s="11"/>
      <c r="F933" s="9"/>
    </row>
    <row r="934" s="1" customFormat="1" customHeight="1" spans="1:6">
      <c r="A934" s="9" t="str">
        <f>"10282103202"</f>
        <v>10282103202</v>
      </c>
      <c r="B934" s="10">
        <v>43.09</v>
      </c>
      <c r="C934" s="9"/>
      <c r="D934" s="9">
        <f t="shared" si="14"/>
        <v>43.09</v>
      </c>
      <c r="E934" s="11"/>
      <c r="F934" s="9"/>
    </row>
    <row r="935" s="1" customFormat="1" customHeight="1" spans="1:6">
      <c r="A935" s="9" t="str">
        <f>"10302103203"</f>
        <v>10302103203</v>
      </c>
      <c r="B935" s="10">
        <v>35.46</v>
      </c>
      <c r="C935" s="9"/>
      <c r="D935" s="9">
        <f t="shared" si="14"/>
        <v>35.46</v>
      </c>
      <c r="E935" s="11"/>
      <c r="F935" s="9"/>
    </row>
    <row r="936" s="1" customFormat="1" customHeight="1" spans="1:6">
      <c r="A936" s="9" t="str">
        <f>"10362103204"</f>
        <v>10362103204</v>
      </c>
      <c r="B936" s="10">
        <v>48.35</v>
      </c>
      <c r="C936" s="9"/>
      <c r="D936" s="9">
        <f t="shared" si="14"/>
        <v>48.35</v>
      </c>
      <c r="E936" s="11"/>
      <c r="F936" s="9"/>
    </row>
    <row r="937" s="1" customFormat="1" customHeight="1" spans="1:6">
      <c r="A937" s="9" t="str">
        <f>"10362103205"</f>
        <v>10362103205</v>
      </c>
      <c r="B937" s="10">
        <v>38.26</v>
      </c>
      <c r="C937" s="9"/>
      <c r="D937" s="9">
        <f t="shared" si="14"/>
        <v>38.26</v>
      </c>
      <c r="E937" s="11"/>
      <c r="F937" s="9"/>
    </row>
    <row r="938" s="1" customFormat="1" customHeight="1" spans="1:6">
      <c r="A938" s="9" t="str">
        <f>"10332103206"</f>
        <v>10332103206</v>
      </c>
      <c r="B938" s="10">
        <v>0</v>
      </c>
      <c r="C938" s="9"/>
      <c r="D938" s="9">
        <f t="shared" si="14"/>
        <v>0</v>
      </c>
      <c r="E938" s="11"/>
      <c r="F938" s="9" t="s">
        <v>7</v>
      </c>
    </row>
    <row r="939" s="1" customFormat="1" customHeight="1" spans="1:6">
      <c r="A939" s="9" t="str">
        <f>"10512103207"</f>
        <v>10512103207</v>
      </c>
      <c r="B939" s="10">
        <v>36.35</v>
      </c>
      <c r="C939" s="9"/>
      <c r="D939" s="9">
        <f t="shared" si="14"/>
        <v>36.35</v>
      </c>
      <c r="E939" s="11"/>
      <c r="F939" s="9"/>
    </row>
    <row r="940" s="1" customFormat="1" customHeight="1" spans="1:6">
      <c r="A940" s="9" t="str">
        <f>"10282103208"</f>
        <v>10282103208</v>
      </c>
      <c r="B940" s="10">
        <v>40.54</v>
      </c>
      <c r="C940" s="9"/>
      <c r="D940" s="9">
        <f t="shared" si="14"/>
        <v>40.54</v>
      </c>
      <c r="E940" s="11"/>
      <c r="F940" s="9"/>
    </row>
    <row r="941" s="1" customFormat="1" customHeight="1" spans="1:6">
      <c r="A941" s="9" t="str">
        <f>"10042103209"</f>
        <v>10042103209</v>
      </c>
      <c r="B941" s="10">
        <v>36.23</v>
      </c>
      <c r="C941" s="9"/>
      <c r="D941" s="9">
        <f t="shared" si="14"/>
        <v>36.23</v>
      </c>
      <c r="E941" s="11"/>
      <c r="F941" s="9"/>
    </row>
    <row r="942" s="1" customFormat="1" customHeight="1" spans="1:6">
      <c r="A942" s="9" t="str">
        <f>"10442103210"</f>
        <v>10442103210</v>
      </c>
      <c r="B942" s="10">
        <v>45.2</v>
      </c>
      <c r="C942" s="9"/>
      <c r="D942" s="9">
        <f t="shared" si="14"/>
        <v>45.2</v>
      </c>
      <c r="E942" s="11"/>
      <c r="F942" s="9"/>
    </row>
    <row r="943" s="1" customFormat="1" customHeight="1" spans="1:6">
      <c r="A943" s="9" t="str">
        <f>"10362103211"</f>
        <v>10362103211</v>
      </c>
      <c r="B943" s="10">
        <v>43.09</v>
      </c>
      <c r="C943" s="9"/>
      <c r="D943" s="9">
        <f t="shared" si="14"/>
        <v>43.09</v>
      </c>
      <c r="E943" s="11"/>
      <c r="F943" s="9"/>
    </row>
    <row r="944" s="1" customFormat="1" customHeight="1" spans="1:6">
      <c r="A944" s="9" t="str">
        <f>"10232103212"</f>
        <v>10232103212</v>
      </c>
      <c r="B944" s="10">
        <v>0</v>
      </c>
      <c r="C944" s="9"/>
      <c r="D944" s="9">
        <f t="shared" si="14"/>
        <v>0</v>
      </c>
      <c r="E944" s="11"/>
      <c r="F944" s="9" t="s">
        <v>7</v>
      </c>
    </row>
    <row r="945" s="1" customFormat="1" customHeight="1" spans="1:6">
      <c r="A945" s="9" t="str">
        <f>"10232103213"</f>
        <v>10232103213</v>
      </c>
      <c r="B945" s="10">
        <v>0</v>
      </c>
      <c r="C945" s="9"/>
      <c r="D945" s="9">
        <f t="shared" si="14"/>
        <v>0</v>
      </c>
      <c r="E945" s="11"/>
      <c r="F945" s="9" t="s">
        <v>7</v>
      </c>
    </row>
    <row r="946" s="1" customFormat="1" customHeight="1" spans="1:6">
      <c r="A946" s="9" t="str">
        <f>"10532103214"</f>
        <v>10532103214</v>
      </c>
      <c r="B946" s="10">
        <v>33.99</v>
      </c>
      <c r="C946" s="9"/>
      <c r="D946" s="9">
        <f t="shared" si="14"/>
        <v>33.99</v>
      </c>
      <c r="E946" s="11"/>
      <c r="F946" s="9"/>
    </row>
    <row r="947" s="1" customFormat="1" customHeight="1" spans="1:6">
      <c r="A947" s="9" t="str">
        <f>"10212103215"</f>
        <v>10212103215</v>
      </c>
      <c r="B947" s="10">
        <v>45.48</v>
      </c>
      <c r="C947" s="9"/>
      <c r="D947" s="9">
        <f t="shared" si="14"/>
        <v>45.48</v>
      </c>
      <c r="E947" s="11"/>
      <c r="F947" s="9"/>
    </row>
    <row r="948" s="1" customFormat="1" customHeight="1" spans="1:6">
      <c r="A948" s="9" t="str">
        <f>"10302103216"</f>
        <v>10302103216</v>
      </c>
      <c r="B948" s="10">
        <v>39.49</v>
      </c>
      <c r="C948" s="9"/>
      <c r="D948" s="9">
        <f t="shared" si="14"/>
        <v>39.49</v>
      </c>
      <c r="E948" s="11"/>
      <c r="F948" s="9"/>
    </row>
    <row r="949" s="1" customFormat="1" customHeight="1" spans="1:6">
      <c r="A949" s="9" t="str">
        <f>"20272103217"</f>
        <v>20272103217</v>
      </c>
      <c r="B949" s="10">
        <v>36.84</v>
      </c>
      <c r="C949" s="9"/>
      <c r="D949" s="9">
        <f t="shared" si="14"/>
        <v>36.84</v>
      </c>
      <c r="E949" s="11"/>
      <c r="F949" s="9"/>
    </row>
    <row r="950" s="1" customFormat="1" customHeight="1" spans="1:6">
      <c r="A950" s="9" t="str">
        <f>"10362103218"</f>
        <v>10362103218</v>
      </c>
      <c r="B950" s="10">
        <v>32.4</v>
      </c>
      <c r="C950" s="9"/>
      <c r="D950" s="9">
        <f t="shared" si="14"/>
        <v>32.4</v>
      </c>
      <c r="E950" s="11"/>
      <c r="F950" s="9"/>
    </row>
    <row r="951" s="1" customFormat="1" customHeight="1" spans="1:6">
      <c r="A951" s="9" t="str">
        <f>"10082103219"</f>
        <v>10082103219</v>
      </c>
      <c r="B951" s="10">
        <v>0</v>
      </c>
      <c r="C951" s="9"/>
      <c r="D951" s="9">
        <f t="shared" si="14"/>
        <v>0</v>
      </c>
      <c r="E951" s="11"/>
      <c r="F951" s="9" t="s">
        <v>7</v>
      </c>
    </row>
    <row r="952" s="1" customFormat="1" customHeight="1" spans="1:6">
      <c r="A952" s="9" t="str">
        <f>"10052103220"</f>
        <v>10052103220</v>
      </c>
      <c r="B952" s="10">
        <v>0</v>
      </c>
      <c r="C952" s="9"/>
      <c r="D952" s="9">
        <f t="shared" si="14"/>
        <v>0</v>
      </c>
      <c r="E952" s="11"/>
      <c r="F952" s="9" t="s">
        <v>7</v>
      </c>
    </row>
    <row r="953" s="1" customFormat="1" customHeight="1" spans="1:6">
      <c r="A953" s="9" t="str">
        <f>"10532103221"</f>
        <v>10532103221</v>
      </c>
      <c r="B953" s="10">
        <v>31.37</v>
      </c>
      <c r="C953" s="9"/>
      <c r="D953" s="9">
        <f t="shared" si="14"/>
        <v>31.37</v>
      </c>
      <c r="E953" s="11"/>
      <c r="F953" s="9"/>
    </row>
    <row r="954" s="1" customFormat="1" customHeight="1" spans="1:6">
      <c r="A954" s="9" t="str">
        <f>"10492103222"</f>
        <v>10492103222</v>
      </c>
      <c r="B954" s="10">
        <v>41.72</v>
      </c>
      <c r="C954" s="9"/>
      <c r="D954" s="9">
        <f t="shared" si="14"/>
        <v>41.72</v>
      </c>
      <c r="E954" s="11"/>
      <c r="F954" s="9"/>
    </row>
    <row r="955" s="1" customFormat="1" customHeight="1" spans="1:6">
      <c r="A955" s="9" t="str">
        <f>"10362103223"</f>
        <v>10362103223</v>
      </c>
      <c r="B955" s="10">
        <v>0</v>
      </c>
      <c r="C955" s="9"/>
      <c r="D955" s="9">
        <f t="shared" si="14"/>
        <v>0</v>
      </c>
      <c r="E955" s="11"/>
      <c r="F955" s="9" t="s">
        <v>7</v>
      </c>
    </row>
    <row r="956" s="1" customFormat="1" customHeight="1" spans="1:6">
      <c r="A956" s="9" t="str">
        <f>"10502103224"</f>
        <v>10502103224</v>
      </c>
      <c r="B956" s="10">
        <v>23.47</v>
      </c>
      <c r="C956" s="9"/>
      <c r="D956" s="9">
        <f t="shared" si="14"/>
        <v>23.47</v>
      </c>
      <c r="E956" s="11"/>
      <c r="F956" s="9"/>
    </row>
    <row r="957" s="1" customFormat="1" customHeight="1" spans="1:6">
      <c r="A957" s="9" t="str">
        <f>"10212103225"</f>
        <v>10212103225</v>
      </c>
      <c r="B957" s="10">
        <v>0</v>
      </c>
      <c r="C957" s="9"/>
      <c r="D957" s="9">
        <f t="shared" si="14"/>
        <v>0</v>
      </c>
      <c r="E957" s="11"/>
      <c r="F957" s="9" t="s">
        <v>7</v>
      </c>
    </row>
    <row r="958" s="1" customFormat="1" customHeight="1" spans="1:6">
      <c r="A958" s="9" t="str">
        <f>"10012103226"</f>
        <v>10012103226</v>
      </c>
      <c r="B958" s="10">
        <v>34.15</v>
      </c>
      <c r="C958" s="9"/>
      <c r="D958" s="9">
        <f t="shared" si="14"/>
        <v>34.15</v>
      </c>
      <c r="E958" s="11"/>
      <c r="F958" s="9"/>
    </row>
    <row r="959" s="1" customFormat="1" customHeight="1" spans="1:6">
      <c r="A959" s="9" t="str">
        <f>"10212103227"</f>
        <v>10212103227</v>
      </c>
      <c r="B959" s="10">
        <v>52.04</v>
      </c>
      <c r="C959" s="9"/>
      <c r="D959" s="9">
        <f t="shared" si="14"/>
        <v>52.04</v>
      </c>
      <c r="E959" s="11"/>
      <c r="F959" s="9"/>
    </row>
    <row r="960" s="1" customFormat="1" customHeight="1" spans="1:6">
      <c r="A960" s="9" t="str">
        <f>"10362103228"</f>
        <v>10362103228</v>
      </c>
      <c r="B960" s="10">
        <v>0</v>
      </c>
      <c r="C960" s="9"/>
      <c r="D960" s="9">
        <f t="shared" si="14"/>
        <v>0</v>
      </c>
      <c r="E960" s="11"/>
      <c r="F960" s="9" t="s">
        <v>7</v>
      </c>
    </row>
    <row r="961" s="1" customFormat="1" customHeight="1" spans="1:6">
      <c r="A961" s="9" t="str">
        <f>"10052103229"</f>
        <v>10052103229</v>
      </c>
      <c r="B961" s="10">
        <v>43.68</v>
      </c>
      <c r="C961" s="9"/>
      <c r="D961" s="9">
        <f t="shared" si="14"/>
        <v>43.68</v>
      </c>
      <c r="E961" s="11"/>
      <c r="F961" s="9"/>
    </row>
    <row r="962" s="1" customFormat="1" customHeight="1" spans="1:6">
      <c r="A962" s="9" t="str">
        <f>"10142103230"</f>
        <v>10142103230</v>
      </c>
      <c r="B962" s="10">
        <v>41.3</v>
      </c>
      <c r="C962" s="9"/>
      <c r="D962" s="9">
        <f t="shared" si="14"/>
        <v>41.3</v>
      </c>
      <c r="E962" s="11"/>
      <c r="F962" s="9"/>
    </row>
    <row r="963" s="1" customFormat="1" customHeight="1" spans="1:6">
      <c r="A963" s="9" t="str">
        <f>"10512103301"</f>
        <v>10512103301</v>
      </c>
      <c r="B963" s="10">
        <v>37.91</v>
      </c>
      <c r="C963" s="9"/>
      <c r="D963" s="9">
        <f t="shared" ref="D963:D1026" si="15">SUM(B963:C963)</f>
        <v>37.91</v>
      </c>
      <c r="E963" s="11"/>
      <c r="F963" s="9"/>
    </row>
    <row r="964" s="1" customFormat="1" customHeight="1" spans="1:6">
      <c r="A964" s="9" t="str">
        <f>"10492103302"</f>
        <v>10492103302</v>
      </c>
      <c r="B964" s="10">
        <v>41.26</v>
      </c>
      <c r="C964" s="9"/>
      <c r="D964" s="9">
        <f t="shared" si="15"/>
        <v>41.26</v>
      </c>
      <c r="E964" s="11"/>
      <c r="F964" s="9"/>
    </row>
    <row r="965" s="1" customFormat="1" customHeight="1" spans="1:6">
      <c r="A965" s="9" t="str">
        <f>"10372103303"</f>
        <v>10372103303</v>
      </c>
      <c r="B965" s="10">
        <v>48.77</v>
      </c>
      <c r="C965" s="9"/>
      <c r="D965" s="9">
        <f t="shared" si="15"/>
        <v>48.77</v>
      </c>
      <c r="E965" s="11"/>
      <c r="F965" s="9"/>
    </row>
    <row r="966" s="1" customFormat="1" customHeight="1" spans="1:6">
      <c r="A966" s="9" t="str">
        <f>"10112103304"</f>
        <v>10112103304</v>
      </c>
      <c r="B966" s="10">
        <v>42.73</v>
      </c>
      <c r="C966" s="9"/>
      <c r="D966" s="9">
        <f t="shared" si="15"/>
        <v>42.73</v>
      </c>
      <c r="E966" s="11"/>
      <c r="F966" s="9"/>
    </row>
    <row r="967" s="1" customFormat="1" customHeight="1" spans="1:6">
      <c r="A967" s="9" t="str">
        <f>"10362103305"</f>
        <v>10362103305</v>
      </c>
      <c r="B967" s="10">
        <v>0</v>
      </c>
      <c r="C967" s="9"/>
      <c r="D967" s="9">
        <f t="shared" si="15"/>
        <v>0</v>
      </c>
      <c r="E967" s="11"/>
      <c r="F967" s="9" t="s">
        <v>7</v>
      </c>
    </row>
    <row r="968" s="1" customFormat="1" customHeight="1" spans="1:6">
      <c r="A968" s="9" t="str">
        <f>"10072103306"</f>
        <v>10072103306</v>
      </c>
      <c r="B968" s="10">
        <v>37.93</v>
      </c>
      <c r="C968" s="9"/>
      <c r="D968" s="9">
        <f t="shared" si="15"/>
        <v>37.93</v>
      </c>
      <c r="E968" s="11"/>
      <c r="F968" s="9"/>
    </row>
    <row r="969" s="1" customFormat="1" customHeight="1" spans="1:6">
      <c r="A969" s="9" t="str">
        <f>"10302103307"</f>
        <v>10302103307</v>
      </c>
      <c r="B969" s="10">
        <v>0</v>
      </c>
      <c r="C969" s="9"/>
      <c r="D969" s="9">
        <f t="shared" si="15"/>
        <v>0</v>
      </c>
      <c r="E969" s="11"/>
      <c r="F969" s="9" t="s">
        <v>7</v>
      </c>
    </row>
    <row r="970" s="1" customFormat="1" customHeight="1" spans="1:6">
      <c r="A970" s="9" t="str">
        <f>"10322103308"</f>
        <v>10322103308</v>
      </c>
      <c r="B970" s="10">
        <v>37.03</v>
      </c>
      <c r="C970" s="9">
        <v>10</v>
      </c>
      <c r="D970" s="9">
        <f t="shared" si="15"/>
        <v>47.03</v>
      </c>
      <c r="E970" s="12" t="s">
        <v>8</v>
      </c>
      <c r="F970" s="9"/>
    </row>
    <row r="971" s="1" customFormat="1" customHeight="1" spans="1:6">
      <c r="A971" s="9" t="str">
        <f>"10362103309"</f>
        <v>10362103309</v>
      </c>
      <c r="B971" s="10">
        <v>46.98</v>
      </c>
      <c r="C971" s="9"/>
      <c r="D971" s="9">
        <f t="shared" si="15"/>
        <v>46.98</v>
      </c>
      <c r="E971" s="11"/>
      <c r="F971" s="9"/>
    </row>
    <row r="972" s="1" customFormat="1" customHeight="1" spans="1:6">
      <c r="A972" s="9" t="str">
        <f>"10452103310"</f>
        <v>10452103310</v>
      </c>
      <c r="B972" s="10">
        <v>44.96</v>
      </c>
      <c r="C972" s="9"/>
      <c r="D972" s="9">
        <f t="shared" si="15"/>
        <v>44.96</v>
      </c>
      <c r="E972" s="11"/>
      <c r="F972" s="9"/>
    </row>
    <row r="973" s="1" customFormat="1" customHeight="1" spans="1:6">
      <c r="A973" s="9" t="str">
        <f>"10412103311"</f>
        <v>10412103311</v>
      </c>
      <c r="B973" s="10">
        <v>37.68</v>
      </c>
      <c r="C973" s="9"/>
      <c r="D973" s="9">
        <f t="shared" si="15"/>
        <v>37.68</v>
      </c>
      <c r="E973" s="11"/>
      <c r="F973" s="9"/>
    </row>
    <row r="974" s="1" customFormat="1" customHeight="1" spans="1:6">
      <c r="A974" s="9" t="str">
        <f>"10212103312"</f>
        <v>10212103312</v>
      </c>
      <c r="B974" s="10">
        <v>0</v>
      </c>
      <c r="C974" s="9"/>
      <c r="D974" s="9">
        <f t="shared" si="15"/>
        <v>0</v>
      </c>
      <c r="E974" s="11"/>
      <c r="F974" s="9" t="s">
        <v>7</v>
      </c>
    </row>
    <row r="975" s="1" customFormat="1" customHeight="1" spans="1:6">
      <c r="A975" s="9" t="str">
        <f>"10282103313"</f>
        <v>10282103313</v>
      </c>
      <c r="B975" s="10">
        <v>0</v>
      </c>
      <c r="C975" s="9"/>
      <c r="D975" s="9">
        <f t="shared" si="15"/>
        <v>0</v>
      </c>
      <c r="E975" s="11"/>
      <c r="F975" s="9" t="s">
        <v>7</v>
      </c>
    </row>
    <row r="976" s="1" customFormat="1" customHeight="1" spans="1:6">
      <c r="A976" s="9" t="str">
        <f>"10362103314"</f>
        <v>10362103314</v>
      </c>
      <c r="B976" s="10">
        <v>0</v>
      </c>
      <c r="C976" s="9"/>
      <c r="D976" s="9">
        <f t="shared" si="15"/>
        <v>0</v>
      </c>
      <c r="E976" s="11"/>
      <c r="F976" s="9" t="s">
        <v>7</v>
      </c>
    </row>
    <row r="977" s="1" customFormat="1" customHeight="1" spans="1:6">
      <c r="A977" s="9" t="str">
        <f>"10432103315"</f>
        <v>10432103315</v>
      </c>
      <c r="B977" s="10">
        <v>0</v>
      </c>
      <c r="C977" s="9"/>
      <c r="D977" s="9">
        <f t="shared" si="15"/>
        <v>0</v>
      </c>
      <c r="E977" s="11"/>
      <c r="F977" s="9" t="s">
        <v>7</v>
      </c>
    </row>
    <row r="978" s="1" customFormat="1" customHeight="1" spans="1:6">
      <c r="A978" s="9" t="str">
        <f>"10362103316"</f>
        <v>10362103316</v>
      </c>
      <c r="B978" s="10">
        <v>0</v>
      </c>
      <c r="C978" s="9"/>
      <c r="D978" s="9">
        <f t="shared" si="15"/>
        <v>0</v>
      </c>
      <c r="E978" s="11"/>
      <c r="F978" s="9" t="s">
        <v>7</v>
      </c>
    </row>
    <row r="979" s="1" customFormat="1" customHeight="1" spans="1:6">
      <c r="A979" s="9" t="str">
        <f>"10532103317"</f>
        <v>10532103317</v>
      </c>
      <c r="B979" s="10">
        <v>0</v>
      </c>
      <c r="C979" s="9"/>
      <c r="D979" s="9">
        <f t="shared" si="15"/>
        <v>0</v>
      </c>
      <c r="E979" s="11"/>
      <c r="F979" s="9" t="s">
        <v>7</v>
      </c>
    </row>
    <row r="980" s="1" customFormat="1" customHeight="1" spans="1:6">
      <c r="A980" s="9" t="str">
        <f>"10062103318"</f>
        <v>10062103318</v>
      </c>
      <c r="B980" s="10">
        <v>35.66</v>
      </c>
      <c r="C980" s="9"/>
      <c r="D980" s="9">
        <f t="shared" si="15"/>
        <v>35.66</v>
      </c>
      <c r="E980" s="11"/>
      <c r="F980" s="9"/>
    </row>
    <row r="981" s="1" customFormat="1" customHeight="1" spans="1:6">
      <c r="A981" s="9" t="str">
        <f>"10272103319"</f>
        <v>10272103319</v>
      </c>
      <c r="B981" s="10">
        <v>51.31</v>
      </c>
      <c r="C981" s="9"/>
      <c r="D981" s="9">
        <f t="shared" si="15"/>
        <v>51.31</v>
      </c>
      <c r="E981" s="11"/>
      <c r="F981" s="9"/>
    </row>
    <row r="982" s="1" customFormat="1" customHeight="1" spans="1:6">
      <c r="A982" s="9" t="str">
        <f>"10082103320"</f>
        <v>10082103320</v>
      </c>
      <c r="B982" s="10">
        <v>0</v>
      </c>
      <c r="C982" s="9"/>
      <c r="D982" s="9">
        <f t="shared" si="15"/>
        <v>0</v>
      </c>
      <c r="E982" s="11"/>
      <c r="F982" s="9" t="s">
        <v>7</v>
      </c>
    </row>
    <row r="983" s="1" customFormat="1" customHeight="1" spans="1:6">
      <c r="A983" s="9" t="str">
        <f>"10282103321"</f>
        <v>10282103321</v>
      </c>
      <c r="B983" s="10">
        <v>38.12</v>
      </c>
      <c r="C983" s="9"/>
      <c r="D983" s="9">
        <f t="shared" si="15"/>
        <v>38.12</v>
      </c>
      <c r="E983" s="11"/>
      <c r="F983" s="9"/>
    </row>
    <row r="984" s="1" customFormat="1" customHeight="1" spans="1:6">
      <c r="A984" s="9" t="str">
        <f>"10132103322"</f>
        <v>10132103322</v>
      </c>
      <c r="B984" s="10">
        <v>0</v>
      </c>
      <c r="C984" s="9"/>
      <c r="D984" s="9">
        <f t="shared" si="15"/>
        <v>0</v>
      </c>
      <c r="E984" s="11"/>
      <c r="F984" s="9" t="s">
        <v>7</v>
      </c>
    </row>
    <row r="985" s="1" customFormat="1" customHeight="1" spans="1:6">
      <c r="A985" s="9" t="str">
        <f>"10262103323"</f>
        <v>10262103323</v>
      </c>
      <c r="B985" s="10">
        <v>46.32</v>
      </c>
      <c r="C985" s="9"/>
      <c r="D985" s="9">
        <f t="shared" si="15"/>
        <v>46.32</v>
      </c>
      <c r="E985" s="11"/>
      <c r="F985" s="9"/>
    </row>
    <row r="986" s="1" customFormat="1" customHeight="1" spans="1:6">
      <c r="A986" s="9" t="str">
        <f>"10212103324"</f>
        <v>10212103324</v>
      </c>
      <c r="B986" s="10">
        <v>52.31</v>
      </c>
      <c r="C986" s="9"/>
      <c r="D986" s="9">
        <f t="shared" si="15"/>
        <v>52.31</v>
      </c>
      <c r="E986" s="11"/>
      <c r="F986" s="9"/>
    </row>
    <row r="987" s="1" customFormat="1" customHeight="1" spans="1:6">
      <c r="A987" s="9" t="str">
        <f>"10142103325"</f>
        <v>10142103325</v>
      </c>
      <c r="B987" s="10">
        <v>40.26</v>
      </c>
      <c r="C987" s="9"/>
      <c r="D987" s="9">
        <f t="shared" si="15"/>
        <v>40.26</v>
      </c>
      <c r="E987" s="11"/>
      <c r="F987" s="9"/>
    </row>
    <row r="988" s="1" customFormat="1" customHeight="1" spans="1:6">
      <c r="A988" s="9" t="str">
        <f>"10242103326"</f>
        <v>10242103326</v>
      </c>
      <c r="B988" s="10">
        <v>50.58</v>
      </c>
      <c r="C988" s="9"/>
      <c r="D988" s="9">
        <f t="shared" si="15"/>
        <v>50.58</v>
      </c>
      <c r="E988" s="11"/>
      <c r="F988" s="9"/>
    </row>
    <row r="989" s="1" customFormat="1" customHeight="1" spans="1:6">
      <c r="A989" s="9" t="str">
        <f>"10512103327"</f>
        <v>10512103327</v>
      </c>
      <c r="B989" s="10">
        <v>44.61</v>
      </c>
      <c r="C989" s="9"/>
      <c r="D989" s="9">
        <f t="shared" si="15"/>
        <v>44.61</v>
      </c>
      <c r="E989" s="11"/>
      <c r="F989" s="9"/>
    </row>
    <row r="990" s="1" customFormat="1" customHeight="1" spans="1:6">
      <c r="A990" s="9" t="str">
        <f>"10452103328"</f>
        <v>10452103328</v>
      </c>
      <c r="B990" s="10">
        <v>50.47</v>
      </c>
      <c r="C990" s="9"/>
      <c r="D990" s="9">
        <f t="shared" si="15"/>
        <v>50.47</v>
      </c>
      <c r="E990" s="11"/>
      <c r="F990" s="9"/>
    </row>
    <row r="991" s="1" customFormat="1" customHeight="1" spans="1:6">
      <c r="A991" s="9" t="str">
        <f>"10322103329"</f>
        <v>10322103329</v>
      </c>
      <c r="B991" s="10">
        <v>38.52</v>
      </c>
      <c r="C991" s="9"/>
      <c r="D991" s="9">
        <f t="shared" si="15"/>
        <v>38.52</v>
      </c>
      <c r="E991" s="11"/>
      <c r="F991" s="9"/>
    </row>
    <row r="992" s="1" customFormat="1" customHeight="1" spans="1:6">
      <c r="A992" s="9" t="str">
        <f>"10382103330"</f>
        <v>10382103330</v>
      </c>
      <c r="B992" s="10">
        <v>38.2</v>
      </c>
      <c r="C992" s="9"/>
      <c r="D992" s="9">
        <f t="shared" si="15"/>
        <v>38.2</v>
      </c>
      <c r="E992" s="11"/>
      <c r="F992" s="9"/>
    </row>
    <row r="993" s="1" customFormat="1" customHeight="1" spans="1:6">
      <c r="A993" s="9" t="str">
        <f>"10532103401"</f>
        <v>10532103401</v>
      </c>
      <c r="B993" s="10">
        <v>0</v>
      </c>
      <c r="C993" s="9"/>
      <c r="D993" s="9">
        <f t="shared" si="15"/>
        <v>0</v>
      </c>
      <c r="E993" s="11"/>
      <c r="F993" s="9" t="s">
        <v>7</v>
      </c>
    </row>
    <row r="994" s="1" customFormat="1" customHeight="1" spans="1:6">
      <c r="A994" s="9" t="str">
        <f>"10332103402"</f>
        <v>10332103402</v>
      </c>
      <c r="B994" s="10">
        <v>56.27</v>
      </c>
      <c r="C994" s="9"/>
      <c r="D994" s="9">
        <f t="shared" si="15"/>
        <v>56.27</v>
      </c>
      <c r="E994" s="11"/>
      <c r="F994" s="9"/>
    </row>
    <row r="995" s="1" customFormat="1" customHeight="1" spans="1:6">
      <c r="A995" s="9" t="str">
        <f>"10182103403"</f>
        <v>10182103403</v>
      </c>
      <c r="B995" s="10">
        <v>41.89</v>
      </c>
      <c r="C995" s="9"/>
      <c r="D995" s="9">
        <f t="shared" si="15"/>
        <v>41.89</v>
      </c>
      <c r="E995" s="11"/>
      <c r="F995" s="9"/>
    </row>
    <row r="996" s="1" customFormat="1" customHeight="1" spans="1:6">
      <c r="A996" s="9" t="str">
        <f>"10362103404"</f>
        <v>10362103404</v>
      </c>
      <c r="B996" s="10">
        <v>31.75</v>
      </c>
      <c r="C996" s="9"/>
      <c r="D996" s="9">
        <f t="shared" si="15"/>
        <v>31.75</v>
      </c>
      <c r="E996" s="11"/>
      <c r="F996" s="9"/>
    </row>
    <row r="997" s="1" customFormat="1" customHeight="1" spans="1:6">
      <c r="A997" s="9" t="str">
        <f>"20272103405"</f>
        <v>20272103405</v>
      </c>
      <c r="B997" s="10">
        <v>0</v>
      </c>
      <c r="C997" s="9"/>
      <c r="D997" s="9">
        <f t="shared" si="15"/>
        <v>0</v>
      </c>
      <c r="E997" s="11"/>
      <c r="F997" s="9" t="s">
        <v>7</v>
      </c>
    </row>
    <row r="998" s="1" customFormat="1" customHeight="1" spans="1:6">
      <c r="A998" s="9" t="str">
        <f>"10502103406"</f>
        <v>10502103406</v>
      </c>
      <c r="B998" s="10">
        <v>39.63</v>
      </c>
      <c r="C998" s="9"/>
      <c r="D998" s="9">
        <f t="shared" si="15"/>
        <v>39.63</v>
      </c>
      <c r="E998" s="11"/>
      <c r="F998" s="9"/>
    </row>
    <row r="999" s="1" customFormat="1" customHeight="1" spans="1:6">
      <c r="A999" s="9" t="str">
        <f>"10412103407"</f>
        <v>10412103407</v>
      </c>
      <c r="B999" s="10">
        <v>38.39</v>
      </c>
      <c r="C999" s="9"/>
      <c r="D999" s="9">
        <f t="shared" si="15"/>
        <v>38.39</v>
      </c>
      <c r="E999" s="11"/>
      <c r="F999" s="9"/>
    </row>
    <row r="1000" s="1" customFormat="1" customHeight="1" spans="1:6">
      <c r="A1000" s="9" t="str">
        <f>"10262103408"</f>
        <v>10262103408</v>
      </c>
      <c r="B1000" s="10">
        <v>45.88</v>
      </c>
      <c r="C1000" s="9"/>
      <c r="D1000" s="9">
        <f t="shared" si="15"/>
        <v>45.88</v>
      </c>
      <c r="E1000" s="11"/>
      <c r="F1000" s="9"/>
    </row>
    <row r="1001" s="1" customFormat="1" customHeight="1" spans="1:6">
      <c r="A1001" s="9" t="str">
        <f>"10362103409"</f>
        <v>10362103409</v>
      </c>
      <c r="B1001" s="10">
        <v>26.76</v>
      </c>
      <c r="C1001" s="9"/>
      <c r="D1001" s="9">
        <f t="shared" si="15"/>
        <v>26.76</v>
      </c>
      <c r="E1001" s="11"/>
      <c r="F1001" s="9"/>
    </row>
    <row r="1002" s="1" customFormat="1" customHeight="1" spans="1:6">
      <c r="A1002" s="9" t="str">
        <f>"10242103410"</f>
        <v>10242103410</v>
      </c>
      <c r="B1002" s="10">
        <v>43.98</v>
      </c>
      <c r="C1002" s="9"/>
      <c r="D1002" s="9">
        <f t="shared" si="15"/>
        <v>43.98</v>
      </c>
      <c r="E1002" s="11"/>
      <c r="F1002" s="9"/>
    </row>
    <row r="1003" s="1" customFormat="1" customHeight="1" spans="1:6">
      <c r="A1003" s="9" t="str">
        <f>"10302103411"</f>
        <v>10302103411</v>
      </c>
      <c r="B1003" s="10">
        <v>47.39</v>
      </c>
      <c r="C1003" s="9"/>
      <c r="D1003" s="9">
        <f t="shared" si="15"/>
        <v>47.39</v>
      </c>
      <c r="E1003" s="11"/>
      <c r="F1003" s="9"/>
    </row>
    <row r="1004" s="1" customFormat="1" customHeight="1" spans="1:6">
      <c r="A1004" s="9" t="str">
        <f>"10362103412"</f>
        <v>10362103412</v>
      </c>
      <c r="B1004" s="10">
        <v>40.01</v>
      </c>
      <c r="C1004" s="9"/>
      <c r="D1004" s="9">
        <f t="shared" si="15"/>
        <v>40.01</v>
      </c>
      <c r="E1004" s="11"/>
      <c r="F1004" s="9"/>
    </row>
    <row r="1005" s="1" customFormat="1" customHeight="1" spans="1:6">
      <c r="A1005" s="9" t="str">
        <f>"10532103413"</f>
        <v>10532103413</v>
      </c>
      <c r="B1005" s="10">
        <v>55.5</v>
      </c>
      <c r="C1005" s="9"/>
      <c r="D1005" s="9">
        <f t="shared" si="15"/>
        <v>55.5</v>
      </c>
      <c r="E1005" s="11"/>
      <c r="F1005" s="9"/>
    </row>
    <row r="1006" s="1" customFormat="1" customHeight="1" spans="1:6">
      <c r="A1006" s="9" t="str">
        <f>"10112103414"</f>
        <v>10112103414</v>
      </c>
      <c r="B1006" s="10">
        <v>0</v>
      </c>
      <c r="C1006" s="9"/>
      <c r="D1006" s="9">
        <f t="shared" si="15"/>
        <v>0</v>
      </c>
      <c r="E1006" s="11"/>
      <c r="F1006" s="9" t="s">
        <v>7</v>
      </c>
    </row>
    <row r="1007" s="1" customFormat="1" customHeight="1" spans="1:6">
      <c r="A1007" s="9" t="str">
        <f>"10292103415"</f>
        <v>10292103415</v>
      </c>
      <c r="B1007" s="10">
        <v>44.7</v>
      </c>
      <c r="C1007" s="9"/>
      <c r="D1007" s="9">
        <f t="shared" si="15"/>
        <v>44.7</v>
      </c>
      <c r="E1007" s="11"/>
      <c r="F1007" s="9"/>
    </row>
    <row r="1008" s="1" customFormat="1" customHeight="1" spans="1:6">
      <c r="A1008" s="9" t="str">
        <f>"10242103416"</f>
        <v>10242103416</v>
      </c>
      <c r="B1008" s="10">
        <v>46.54</v>
      </c>
      <c r="C1008" s="9"/>
      <c r="D1008" s="9">
        <f t="shared" si="15"/>
        <v>46.54</v>
      </c>
      <c r="E1008" s="11"/>
      <c r="F1008" s="9"/>
    </row>
    <row r="1009" s="1" customFormat="1" customHeight="1" spans="1:6">
      <c r="A1009" s="9" t="str">
        <f>"10412103417"</f>
        <v>10412103417</v>
      </c>
      <c r="B1009" s="10">
        <v>33.01</v>
      </c>
      <c r="C1009" s="9"/>
      <c r="D1009" s="9">
        <f t="shared" si="15"/>
        <v>33.01</v>
      </c>
      <c r="E1009" s="11"/>
      <c r="F1009" s="9"/>
    </row>
    <row r="1010" s="1" customFormat="1" customHeight="1" spans="1:6">
      <c r="A1010" s="9" t="str">
        <f>"10362103418"</f>
        <v>10362103418</v>
      </c>
      <c r="B1010" s="10">
        <v>46.39</v>
      </c>
      <c r="C1010" s="9"/>
      <c r="D1010" s="9">
        <f t="shared" si="15"/>
        <v>46.39</v>
      </c>
      <c r="E1010" s="11"/>
      <c r="F1010" s="9"/>
    </row>
    <row r="1011" s="1" customFormat="1" customHeight="1" spans="1:6">
      <c r="A1011" s="9" t="str">
        <f>"10362103419"</f>
        <v>10362103419</v>
      </c>
      <c r="B1011" s="10">
        <v>0</v>
      </c>
      <c r="C1011" s="9">
        <v>10</v>
      </c>
      <c r="D1011" s="9">
        <f t="shared" si="15"/>
        <v>10</v>
      </c>
      <c r="E1011" s="12" t="s">
        <v>8</v>
      </c>
      <c r="F1011" s="9" t="s">
        <v>7</v>
      </c>
    </row>
    <row r="1012" s="1" customFormat="1" customHeight="1" spans="1:6">
      <c r="A1012" s="9" t="str">
        <f>"10362103420"</f>
        <v>10362103420</v>
      </c>
      <c r="B1012" s="10">
        <v>32.4</v>
      </c>
      <c r="C1012" s="9"/>
      <c r="D1012" s="9">
        <f t="shared" si="15"/>
        <v>32.4</v>
      </c>
      <c r="E1012" s="11"/>
      <c r="F1012" s="9"/>
    </row>
    <row r="1013" s="1" customFormat="1" customHeight="1" spans="1:6">
      <c r="A1013" s="9" t="str">
        <f>"10182103421"</f>
        <v>10182103421</v>
      </c>
      <c r="B1013" s="10">
        <v>30.61</v>
      </c>
      <c r="C1013" s="9"/>
      <c r="D1013" s="9">
        <f t="shared" si="15"/>
        <v>30.61</v>
      </c>
      <c r="E1013" s="11"/>
      <c r="F1013" s="9"/>
    </row>
    <row r="1014" s="1" customFormat="1" customHeight="1" spans="1:6">
      <c r="A1014" s="9" t="str">
        <f>"10362103422"</f>
        <v>10362103422</v>
      </c>
      <c r="B1014" s="10">
        <v>40.13</v>
      </c>
      <c r="C1014" s="9"/>
      <c r="D1014" s="9">
        <f t="shared" si="15"/>
        <v>40.13</v>
      </c>
      <c r="E1014" s="11"/>
      <c r="F1014" s="9"/>
    </row>
    <row r="1015" s="1" customFormat="1" customHeight="1" spans="1:6">
      <c r="A1015" s="9" t="str">
        <f>"10362103423"</f>
        <v>10362103423</v>
      </c>
      <c r="B1015" s="10">
        <v>35.13</v>
      </c>
      <c r="C1015" s="9"/>
      <c r="D1015" s="9">
        <f t="shared" si="15"/>
        <v>35.13</v>
      </c>
      <c r="E1015" s="11"/>
      <c r="F1015" s="9"/>
    </row>
    <row r="1016" s="1" customFormat="1" customHeight="1" spans="1:6">
      <c r="A1016" s="9" t="str">
        <f>"10062103424"</f>
        <v>10062103424</v>
      </c>
      <c r="B1016" s="10">
        <v>0</v>
      </c>
      <c r="C1016" s="9"/>
      <c r="D1016" s="9">
        <f t="shared" si="15"/>
        <v>0</v>
      </c>
      <c r="E1016" s="11"/>
      <c r="F1016" s="9" t="s">
        <v>7</v>
      </c>
    </row>
    <row r="1017" s="1" customFormat="1" customHeight="1" spans="1:6">
      <c r="A1017" s="9" t="str">
        <f>"10362103425"</f>
        <v>10362103425</v>
      </c>
      <c r="B1017" s="10">
        <v>36.89</v>
      </c>
      <c r="C1017" s="9"/>
      <c r="D1017" s="9">
        <f t="shared" si="15"/>
        <v>36.89</v>
      </c>
      <c r="E1017" s="11"/>
      <c r="F1017" s="9"/>
    </row>
    <row r="1018" s="1" customFormat="1" customHeight="1" spans="1:6">
      <c r="A1018" s="9" t="str">
        <f>"10062103426"</f>
        <v>10062103426</v>
      </c>
      <c r="B1018" s="10">
        <v>29.97</v>
      </c>
      <c r="C1018" s="9"/>
      <c r="D1018" s="9">
        <f t="shared" si="15"/>
        <v>29.97</v>
      </c>
      <c r="E1018" s="11"/>
      <c r="F1018" s="9"/>
    </row>
    <row r="1019" s="1" customFormat="1" customHeight="1" spans="1:6">
      <c r="A1019" s="9" t="str">
        <f>"10442103427"</f>
        <v>10442103427</v>
      </c>
      <c r="B1019" s="10">
        <v>40.2</v>
      </c>
      <c r="C1019" s="9"/>
      <c r="D1019" s="9">
        <f t="shared" si="15"/>
        <v>40.2</v>
      </c>
      <c r="E1019" s="11"/>
      <c r="F1019" s="9"/>
    </row>
    <row r="1020" s="1" customFormat="1" customHeight="1" spans="1:6">
      <c r="A1020" s="9" t="str">
        <f>"10182103428"</f>
        <v>10182103428</v>
      </c>
      <c r="B1020" s="10">
        <v>0</v>
      </c>
      <c r="C1020" s="9"/>
      <c r="D1020" s="9">
        <f t="shared" si="15"/>
        <v>0</v>
      </c>
      <c r="E1020" s="11"/>
      <c r="F1020" s="9" t="s">
        <v>7</v>
      </c>
    </row>
    <row r="1021" s="1" customFormat="1" customHeight="1" spans="1:6">
      <c r="A1021" s="9" t="str">
        <f>"10362103429"</f>
        <v>10362103429</v>
      </c>
      <c r="B1021" s="10">
        <v>0</v>
      </c>
      <c r="C1021" s="9"/>
      <c r="D1021" s="9">
        <f t="shared" si="15"/>
        <v>0</v>
      </c>
      <c r="E1021" s="11"/>
      <c r="F1021" s="9" t="s">
        <v>7</v>
      </c>
    </row>
    <row r="1022" s="1" customFormat="1" customHeight="1" spans="1:6">
      <c r="A1022" s="9" t="str">
        <f>"20272103430"</f>
        <v>20272103430</v>
      </c>
      <c r="B1022" s="10">
        <v>31.14</v>
      </c>
      <c r="C1022" s="9"/>
      <c r="D1022" s="9">
        <f t="shared" si="15"/>
        <v>31.14</v>
      </c>
      <c r="E1022" s="11"/>
      <c r="F1022" s="9"/>
    </row>
    <row r="1023" s="1" customFormat="1" customHeight="1" spans="1:6">
      <c r="A1023" s="9" t="str">
        <f>"10442103501"</f>
        <v>10442103501</v>
      </c>
      <c r="B1023" s="10">
        <v>42.22</v>
      </c>
      <c r="C1023" s="9"/>
      <c r="D1023" s="9">
        <f t="shared" si="15"/>
        <v>42.22</v>
      </c>
      <c r="E1023" s="11"/>
      <c r="F1023" s="9"/>
    </row>
    <row r="1024" s="1" customFormat="1" customHeight="1" spans="1:6">
      <c r="A1024" s="9" t="str">
        <f>"10362103502"</f>
        <v>10362103502</v>
      </c>
      <c r="B1024" s="10">
        <v>20.84</v>
      </c>
      <c r="C1024" s="9"/>
      <c r="D1024" s="9">
        <f t="shared" si="15"/>
        <v>20.84</v>
      </c>
      <c r="E1024" s="11"/>
      <c r="F1024" s="9"/>
    </row>
    <row r="1025" s="1" customFormat="1" customHeight="1" spans="1:6">
      <c r="A1025" s="9" t="str">
        <f>"10532103503"</f>
        <v>10532103503</v>
      </c>
      <c r="B1025" s="10">
        <v>39.25</v>
      </c>
      <c r="C1025" s="9"/>
      <c r="D1025" s="9">
        <f t="shared" si="15"/>
        <v>39.25</v>
      </c>
      <c r="E1025" s="11"/>
      <c r="F1025" s="9"/>
    </row>
    <row r="1026" s="1" customFormat="1" customHeight="1" spans="1:6">
      <c r="A1026" s="9" t="str">
        <f>"10362103504"</f>
        <v>10362103504</v>
      </c>
      <c r="B1026" s="10">
        <v>0</v>
      </c>
      <c r="C1026" s="9"/>
      <c r="D1026" s="9">
        <f t="shared" si="15"/>
        <v>0</v>
      </c>
      <c r="E1026" s="11"/>
      <c r="F1026" s="9" t="s">
        <v>7</v>
      </c>
    </row>
    <row r="1027" s="1" customFormat="1" customHeight="1" spans="1:6">
      <c r="A1027" s="9" t="str">
        <f>"10362103505"</f>
        <v>10362103505</v>
      </c>
      <c r="B1027" s="10">
        <v>41.13</v>
      </c>
      <c r="C1027" s="9"/>
      <c r="D1027" s="9">
        <f t="shared" ref="D1027:D1090" si="16">SUM(B1027:C1027)</f>
        <v>41.13</v>
      </c>
      <c r="E1027" s="11"/>
      <c r="F1027" s="9"/>
    </row>
    <row r="1028" s="1" customFormat="1" customHeight="1" spans="1:6">
      <c r="A1028" s="9" t="str">
        <f>"10012103506"</f>
        <v>10012103506</v>
      </c>
      <c r="B1028" s="10">
        <v>48.6</v>
      </c>
      <c r="C1028" s="9"/>
      <c r="D1028" s="9">
        <f t="shared" si="16"/>
        <v>48.6</v>
      </c>
      <c r="E1028" s="11"/>
      <c r="F1028" s="9"/>
    </row>
    <row r="1029" s="1" customFormat="1" customHeight="1" spans="1:6">
      <c r="A1029" s="9" t="str">
        <f>"10062103507"</f>
        <v>10062103507</v>
      </c>
      <c r="B1029" s="10">
        <v>39.46</v>
      </c>
      <c r="C1029" s="9"/>
      <c r="D1029" s="9">
        <f t="shared" si="16"/>
        <v>39.46</v>
      </c>
      <c r="E1029" s="11"/>
      <c r="F1029" s="9"/>
    </row>
    <row r="1030" s="1" customFormat="1" customHeight="1" spans="1:6">
      <c r="A1030" s="9" t="str">
        <f>"10092103508"</f>
        <v>10092103508</v>
      </c>
      <c r="B1030" s="10">
        <v>36.84</v>
      </c>
      <c r="C1030" s="9"/>
      <c r="D1030" s="9">
        <f t="shared" si="16"/>
        <v>36.84</v>
      </c>
      <c r="E1030" s="11"/>
      <c r="F1030" s="9"/>
    </row>
    <row r="1031" s="1" customFormat="1" customHeight="1" spans="1:6">
      <c r="A1031" s="9" t="str">
        <f>"10212103509"</f>
        <v>10212103509</v>
      </c>
      <c r="B1031" s="10">
        <v>0</v>
      </c>
      <c r="C1031" s="9"/>
      <c r="D1031" s="9">
        <f t="shared" si="16"/>
        <v>0</v>
      </c>
      <c r="E1031" s="11"/>
      <c r="F1031" s="9" t="s">
        <v>7</v>
      </c>
    </row>
    <row r="1032" s="1" customFormat="1" customHeight="1" spans="1:6">
      <c r="A1032" s="9" t="str">
        <f>"10362103510"</f>
        <v>10362103510</v>
      </c>
      <c r="B1032" s="10">
        <v>0</v>
      </c>
      <c r="C1032" s="9"/>
      <c r="D1032" s="9">
        <f t="shared" si="16"/>
        <v>0</v>
      </c>
      <c r="E1032" s="11"/>
      <c r="F1032" s="9" t="s">
        <v>7</v>
      </c>
    </row>
    <row r="1033" s="1" customFormat="1" customHeight="1" spans="1:6">
      <c r="A1033" s="9" t="str">
        <f>"10232103511"</f>
        <v>10232103511</v>
      </c>
      <c r="B1033" s="10">
        <v>0</v>
      </c>
      <c r="C1033" s="9"/>
      <c r="D1033" s="9">
        <f t="shared" si="16"/>
        <v>0</v>
      </c>
      <c r="E1033" s="11"/>
      <c r="F1033" s="9" t="s">
        <v>7</v>
      </c>
    </row>
    <row r="1034" s="1" customFormat="1" customHeight="1" spans="1:6">
      <c r="A1034" s="9" t="str">
        <f>"10502103512"</f>
        <v>10502103512</v>
      </c>
      <c r="B1034" s="10">
        <v>30.97</v>
      </c>
      <c r="C1034" s="9"/>
      <c r="D1034" s="9">
        <f t="shared" si="16"/>
        <v>30.97</v>
      </c>
      <c r="E1034" s="11"/>
      <c r="F1034" s="9"/>
    </row>
    <row r="1035" s="1" customFormat="1" customHeight="1" spans="1:6">
      <c r="A1035" s="9" t="str">
        <f>"10382103513"</f>
        <v>10382103513</v>
      </c>
      <c r="B1035" s="10">
        <v>0</v>
      </c>
      <c r="C1035" s="9"/>
      <c r="D1035" s="9">
        <f t="shared" si="16"/>
        <v>0</v>
      </c>
      <c r="E1035" s="11"/>
      <c r="F1035" s="9" t="s">
        <v>7</v>
      </c>
    </row>
    <row r="1036" s="1" customFormat="1" customHeight="1" spans="1:6">
      <c r="A1036" s="9" t="str">
        <f>"10462103514"</f>
        <v>10462103514</v>
      </c>
      <c r="B1036" s="10">
        <v>39.94</v>
      </c>
      <c r="C1036" s="9"/>
      <c r="D1036" s="9">
        <f t="shared" si="16"/>
        <v>39.94</v>
      </c>
      <c r="E1036" s="11"/>
      <c r="F1036" s="9"/>
    </row>
    <row r="1037" s="1" customFormat="1" customHeight="1" spans="1:6">
      <c r="A1037" s="9" t="str">
        <f>"10362103515"</f>
        <v>10362103515</v>
      </c>
      <c r="B1037" s="10">
        <v>0</v>
      </c>
      <c r="C1037" s="9"/>
      <c r="D1037" s="9">
        <f t="shared" si="16"/>
        <v>0</v>
      </c>
      <c r="E1037" s="11"/>
      <c r="F1037" s="9" t="s">
        <v>7</v>
      </c>
    </row>
    <row r="1038" s="1" customFormat="1" customHeight="1" spans="1:6">
      <c r="A1038" s="9" t="str">
        <f>"10362103516"</f>
        <v>10362103516</v>
      </c>
      <c r="B1038" s="10">
        <v>32.3</v>
      </c>
      <c r="C1038" s="9"/>
      <c r="D1038" s="9">
        <f t="shared" si="16"/>
        <v>32.3</v>
      </c>
      <c r="E1038" s="11"/>
      <c r="F1038" s="9"/>
    </row>
    <row r="1039" s="1" customFormat="1" customHeight="1" spans="1:6">
      <c r="A1039" s="9" t="str">
        <f>"10412103517"</f>
        <v>10412103517</v>
      </c>
      <c r="B1039" s="10">
        <v>37.34</v>
      </c>
      <c r="C1039" s="9"/>
      <c r="D1039" s="9">
        <f t="shared" si="16"/>
        <v>37.34</v>
      </c>
      <c r="E1039" s="11"/>
      <c r="F1039" s="9"/>
    </row>
    <row r="1040" s="1" customFormat="1" customHeight="1" spans="1:6">
      <c r="A1040" s="9" t="str">
        <f>"10502103518"</f>
        <v>10502103518</v>
      </c>
      <c r="B1040" s="10">
        <v>0</v>
      </c>
      <c r="C1040" s="9"/>
      <c r="D1040" s="9">
        <f t="shared" si="16"/>
        <v>0</v>
      </c>
      <c r="E1040" s="11"/>
      <c r="F1040" s="9" t="s">
        <v>7</v>
      </c>
    </row>
    <row r="1041" s="1" customFormat="1" customHeight="1" spans="1:6">
      <c r="A1041" s="9" t="str">
        <f>"10452103519"</f>
        <v>10452103519</v>
      </c>
      <c r="B1041" s="10">
        <v>50.59</v>
      </c>
      <c r="C1041" s="9"/>
      <c r="D1041" s="9">
        <f t="shared" si="16"/>
        <v>50.59</v>
      </c>
      <c r="E1041" s="11"/>
      <c r="F1041" s="9"/>
    </row>
    <row r="1042" s="1" customFormat="1" customHeight="1" spans="1:6">
      <c r="A1042" s="9" t="str">
        <f>"10362103520"</f>
        <v>10362103520</v>
      </c>
      <c r="B1042" s="10">
        <v>38.08</v>
      </c>
      <c r="C1042" s="9"/>
      <c r="D1042" s="9">
        <f t="shared" si="16"/>
        <v>38.08</v>
      </c>
      <c r="E1042" s="11"/>
      <c r="F1042" s="9"/>
    </row>
    <row r="1043" s="1" customFormat="1" customHeight="1" spans="1:6">
      <c r="A1043" s="9" t="str">
        <f>"10212103521"</f>
        <v>10212103521</v>
      </c>
      <c r="B1043" s="10">
        <v>32.68</v>
      </c>
      <c r="C1043" s="9"/>
      <c r="D1043" s="9">
        <f t="shared" si="16"/>
        <v>32.68</v>
      </c>
      <c r="E1043" s="11"/>
      <c r="F1043" s="9"/>
    </row>
    <row r="1044" s="1" customFormat="1" customHeight="1" spans="1:6">
      <c r="A1044" s="9" t="str">
        <f>"10362103522"</f>
        <v>10362103522</v>
      </c>
      <c r="B1044" s="10">
        <v>33.92</v>
      </c>
      <c r="C1044" s="9"/>
      <c r="D1044" s="9">
        <f t="shared" si="16"/>
        <v>33.92</v>
      </c>
      <c r="E1044" s="11"/>
      <c r="F1044" s="9"/>
    </row>
    <row r="1045" s="1" customFormat="1" customHeight="1" spans="1:6">
      <c r="A1045" s="9" t="str">
        <f>"10352103523"</f>
        <v>10352103523</v>
      </c>
      <c r="B1045" s="10">
        <v>0</v>
      </c>
      <c r="C1045" s="9"/>
      <c r="D1045" s="9">
        <f t="shared" si="16"/>
        <v>0</v>
      </c>
      <c r="E1045" s="11"/>
      <c r="F1045" s="9" t="s">
        <v>7</v>
      </c>
    </row>
    <row r="1046" s="1" customFormat="1" customHeight="1" spans="1:6">
      <c r="A1046" s="9" t="str">
        <f>"10322103524"</f>
        <v>10322103524</v>
      </c>
      <c r="B1046" s="10">
        <v>42.1</v>
      </c>
      <c r="C1046" s="9"/>
      <c r="D1046" s="9">
        <f t="shared" si="16"/>
        <v>42.1</v>
      </c>
      <c r="E1046" s="11"/>
      <c r="F1046" s="9"/>
    </row>
    <row r="1047" s="1" customFormat="1" customHeight="1" spans="1:6">
      <c r="A1047" s="9" t="str">
        <f>"10332103525"</f>
        <v>10332103525</v>
      </c>
      <c r="B1047" s="10">
        <v>40.86</v>
      </c>
      <c r="C1047" s="9"/>
      <c r="D1047" s="9">
        <f t="shared" si="16"/>
        <v>40.86</v>
      </c>
      <c r="E1047" s="11"/>
      <c r="F1047" s="9"/>
    </row>
    <row r="1048" s="1" customFormat="1" customHeight="1" spans="1:6">
      <c r="A1048" s="9" t="str">
        <f>"10132103526"</f>
        <v>10132103526</v>
      </c>
      <c r="B1048" s="10">
        <v>40.26</v>
      </c>
      <c r="C1048" s="9"/>
      <c r="D1048" s="9">
        <f t="shared" si="16"/>
        <v>40.26</v>
      </c>
      <c r="E1048" s="11"/>
      <c r="F1048" s="9"/>
    </row>
    <row r="1049" s="1" customFormat="1" customHeight="1" spans="1:6">
      <c r="A1049" s="9" t="str">
        <f>"10362103527"</f>
        <v>10362103527</v>
      </c>
      <c r="B1049" s="10">
        <v>31.11</v>
      </c>
      <c r="C1049" s="9">
        <v>10</v>
      </c>
      <c r="D1049" s="9">
        <f t="shared" si="16"/>
        <v>41.11</v>
      </c>
      <c r="E1049" s="12" t="s">
        <v>8</v>
      </c>
      <c r="F1049" s="9"/>
    </row>
    <row r="1050" s="1" customFormat="1" customHeight="1" spans="1:6">
      <c r="A1050" s="9" t="str">
        <f>"10042103528"</f>
        <v>10042103528</v>
      </c>
      <c r="B1050" s="10">
        <v>77.63</v>
      </c>
      <c r="C1050" s="9"/>
      <c r="D1050" s="9">
        <f t="shared" si="16"/>
        <v>77.63</v>
      </c>
      <c r="E1050" s="11"/>
      <c r="F1050" s="9"/>
    </row>
    <row r="1051" s="1" customFormat="1" customHeight="1" spans="1:6">
      <c r="A1051" s="9" t="str">
        <f>"10362103529"</f>
        <v>10362103529</v>
      </c>
      <c r="B1051" s="10">
        <v>0</v>
      </c>
      <c r="C1051" s="9"/>
      <c r="D1051" s="9">
        <f t="shared" si="16"/>
        <v>0</v>
      </c>
      <c r="E1051" s="11"/>
      <c r="F1051" s="9" t="s">
        <v>7</v>
      </c>
    </row>
    <row r="1052" s="1" customFormat="1" customHeight="1" spans="1:6">
      <c r="A1052" s="9" t="str">
        <f>"10062103530"</f>
        <v>10062103530</v>
      </c>
      <c r="B1052" s="10">
        <v>0</v>
      </c>
      <c r="C1052" s="9"/>
      <c r="D1052" s="9">
        <f t="shared" si="16"/>
        <v>0</v>
      </c>
      <c r="E1052" s="11"/>
      <c r="F1052" s="9" t="s">
        <v>7</v>
      </c>
    </row>
    <row r="1053" s="1" customFormat="1" customHeight="1" spans="1:6">
      <c r="A1053" s="9" t="str">
        <f>"10142103601"</f>
        <v>10142103601</v>
      </c>
      <c r="B1053" s="10">
        <v>41.98</v>
      </c>
      <c r="C1053" s="9"/>
      <c r="D1053" s="9">
        <f t="shared" si="16"/>
        <v>41.98</v>
      </c>
      <c r="E1053" s="11"/>
      <c r="F1053" s="9"/>
    </row>
    <row r="1054" s="1" customFormat="1" customHeight="1" spans="1:6">
      <c r="A1054" s="9" t="str">
        <f>"10452103602"</f>
        <v>10452103602</v>
      </c>
      <c r="B1054" s="10">
        <v>0</v>
      </c>
      <c r="C1054" s="9"/>
      <c r="D1054" s="9">
        <f t="shared" si="16"/>
        <v>0</v>
      </c>
      <c r="E1054" s="11"/>
      <c r="F1054" s="9" t="s">
        <v>7</v>
      </c>
    </row>
    <row r="1055" s="1" customFormat="1" customHeight="1" spans="1:6">
      <c r="A1055" s="9" t="str">
        <f>"10132103603"</f>
        <v>10132103603</v>
      </c>
      <c r="B1055" s="10">
        <v>0</v>
      </c>
      <c r="C1055" s="9"/>
      <c r="D1055" s="9">
        <f t="shared" si="16"/>
        <v>0</v>
      </c>
      <c r="E1055" s="11"/>
      <c r="F1055" s="9" t="s">
        <v>7</v>
      </c>
    </row>
    <row r="1056" s="1" customFormat="1" customHeight="1" spans="1:6">
      <c r="A1056" s="9" t="str">
        <f>"10292103604"</f>
        <v>10292103604</v>
      </c>
      <c r="B1056" s="10">
        <v>0</v>
      </c>
      <c r="C1056" s="9"/>
      <c r="D1056" s="9">
        <f t="shared" si="16"/>
        <v>0</v>
      </c>
      <c r="E1056" s="11"/>
      <c r="F1056" s="9" t="s">
        <v>7</v>
      </c>
    </row>
    <row r="1057" s="1" customFormat="1" customHeight="1" spans="1:6">
      <c r="A1057" s="9" t="str">
        <f>"10202103605"</f>
        <v>10202103605</v>
      </c>
      <c r="B1057" s="10">
        <v>37.32</v>
      </c>
      <c r="C1057" s="9"/>
      <c r="D1057" s="9">
        <f t="shared" si="16"/>
        <v>37.32</v>
      </c>
      <c r="E1057" s="11"/>
      <c r="F1057" s="9"/>
    </row>
    <row r="1058" s="1" customFormat="1" customHeight="1" spans="1:6">
      <c r="A1058" s="9" t="str">
        <f>"10522103606"</f>
        <v>10522103606</v>
      </c>
      <c r="B1058" s="10">
        <v>44.12</v>
      </c>
      <c r="C1058" s="9"/>
      <c r="D1058" s="9">
        <f t="shared" si="16"/>
        <v>44.12</v>
      </c>
      <c r="E1058" s="11"/>
      <c r="F1058" s="9"/>
    </row>
    <row r="1059" s="1" customFormat="1" customHeight="1" spans="1:6">
      <c r="A1059" s="9" t="str">
        <f>"10172103607"</f>
        <v>10172103607</v>
      </c>
      <c r="B1059" s="10">
        <v>0</v>
      </c>
      <c r="C1059" s="9"/>
      <c r="D1059" s="9">
        <f t="shared" si="16"/>
        <v>0</v>
      </c>
      <c r="E1059" s="11"/>
      <c r="F1059" s="9" t="s">
        <v>7</v>
      </c>
    </row>
    <row r="1060" s="1" customFormat="1" customHeight="1" spans="1:6">
      <c r="A1060" s="9" t="str">
        <f>"10212103608"</f>
        <v>10212103608</v>
      </c>
      <c r="B1060" s="10">
        <v>0</v>
      </c>
      <c r="C1060" s="9"/>
      <c r="D1060" s="9">
        <f t="shared" si="16"/>
        <v>0</v>
      </c>
      <c r="E1060" s="11"/>
      <c r="F1060" s="9" t="s">
        <v>7</v>
      </c>
    </row>
    <row r="1061" s="1" customFormat="1" customHeight="1" spans="1:6">
      <c r="A1061" s="9" t="str">
        <f>"10462103609"</f>
        <v>10462103609</v>
      </c>
      <c r="B1061" s="10">
        <v>38.06</v>
      </c>
      <c r="C1061" s="9"/>
      <c r="D1061" s="9">
        <f t="shared" si="16"/>
        <v>38.06</v>
      </c>
      <c r="E1061" s="11"/>
      <c r="F1061" s="9"/>
    </row>
    <row r="1062" s="1" customFormat="1" customHeight="1" spans="1:6">
      <c r="A1062" s="9" t="str">
        <f>"10362103610"</f>
        <v>10362103610</v>
      </c>
      <c r="B1062" s="10">
        <v>0</v>
      </c>
      <c r="C1062" s="9"/>
      <c r="D1062" s="9">
        <f t="shared" si="16"/>
        <v>0</v>
      </c>
      <c r="E1062" s="11"/>
      <c r="F1062" s="9" t="s">
        <v>7</v>
      </c>
    </row>
    <row r="1063" s="1" customFormat="1" customHeight="1" spans="1:6">
      <c r="A1063" s="9" t="str">
        <f>"10362103611"</f>
        <v>10362103611</v>
      </c>
      <c r="B1063" s="10">
        <v>34.42</v>
      </c>
      <c r="C1063" s="9"/>
      <c r="D1063" s="9">
        <f t="shared" si="16"/>
        <v>34.42</v>
      </c>
      <c r="E1063" s="11"/>
      <c r="F1063" s="9"/>
    </row>
    <row r="1064" s="1" customFormat="1" customHeight="1" spans="1:6">
      <c r="A1064" s="9" t="str">
        <f>"10362103612"</f>
        <v>10362103612</v>
      </c>
      <c r="B1064" s="10">
        <v>40.68</v>
      </c>
      <c r="C1064" s="9"/>
      <c r="D1064" s="9">
        <f t="shared" si="16"/>
        <v>40.68</v>
      </c>
      <c r="E1064" s="11"/>
      <c r="F1064" s="9"/>
    </row>
    <row r="1065" s="1" customFormat="1" customHeight="1" spans="1:6">
      <c r="A1065" s="9" t="str">
        <f>"10522103613"</f>
        <v>10522103613</v>
      </c>
      <c r="B1065" s="10">
        <v>37.85</v>
      </c>
      <c r="C1065" s="9"/>
      <c r="D1065" s="9">
        <f t="shared" si="16"/>
        <v>37.85</v>
      </c>
      <c r="E1065" s="11"/>
      <c r="F1065" s="9"/>
    </row>
    <row r="1066" s="1" customFormat="1" customHeight="1" spans="1:6">
      <c r="A1066" s="9" t="str">
        <f>"10532103614"</f>
        <v>10532103614</v>
      </c>
      <c r="B1066" s="10">
        <v>33.28</v>
      </c>
      <c r="C1066" s="9"/>
      <c r="D1066" s="9">
        <f t="shared" si="16"/>
        <v>33.28</v>
      </c>
      <c r="E1066" s="11"/>
      <c r="F1066" s="9"/>
    </row>
    <row r="1067" s="1" customFormat="1" customHeight="1" spans="1:6">
      <c r="A1067" s="9" t="str">
        <f>"10182103615"</f>
        <v>10182103615</v>
      </c>
      <c r="B1067" s="10">
        <v>37.67</v>
      </c>
      <c r="C1067" s="9"/>
      <c r="D1067" s="9">
        <f t="shared" si="16"/>
        <v>37.67</v>
      </c>
      <c r="E1067" s="11"/>
      <c r="F1067" s="9"/>
    </row>
    <row r="1068" s="1" customFormat="1" customHeight="1" spans="1:6">
      <c r="A1068" s="9" t="str">
        <f>"10212103616"</f>
        <v>10212103616</v>
      </c>
      <c r="B1068" s="10">
        <v>0</v>
      </c>
      <c r="C1068" s="9"/>
      <c r="D1068" s="9">
        <f t="shared" si="16"/>
        <v>0</v>
      </c>
      <c r="E1068" s="11"/>
      <c r="F1068" s="9" t="s">
        <v>7</v>
      </c>
    </row>
    <row r="1069" s="1" customFormat="1" customHeight="1" spans="1:6">
      <c r="A1069" s="9" t="str">
        <f>"10062103617"</f>
        <v>10062103617</v>
      </c>
      <c r="B1069" s="10">
        <v>41.74</v>
      </c>
      <c r="C1069" s="9"/>
      <c r="D1069" s="9">
        <f t="shared" si="16"/>
        <v>41.74</v>
      </c>
      <c r="E1069" s="11"/>
      <c r="F1069" s="9"/>
    </row>
    <row r="1070" s="1" customFormat="1" customHeight="1" spans="1:6">
      <c r="A1070" s="9" t="str">
        <f>"10362103618"</f>
        <v>10362103618</v>
      </c>
      <c r="B1070" s="10">
        <v>0</v>
      </c>
      <c r="C1070" s="9"/>
      <c r="D1070" s="9">
        <f t="shared" si="16"/>
        <v>0</v>
      </c>
      <c r="E1070" s="11"/>
      <c r="F1070" s="9" t="s">
        <v>7</v>
      </c>
    </row>
    <row r="1071" s="1" customFormat="1" customHeight="1" spans="1:6">
      <c r="A1071" s="9" t="str">
        <f>"10522103619"</f>
        <v>10522103619</v>
      </c>
      <c r="B1071" s="10">
        <v>0</v>
      </c>
      <c r="C1071" s="9"/>
      <c r="D1071" s="9">
        <f t="shared" si="16"/>
        <v>0</v>
      </c>
      <c r="E1071" s="11"/>
      <c r="F1071" s="9" t="s">
        <v>7</v>
      </c>
    </row>
    <row r="1072" s="1" customFormat="1" customHeight="1" spans="1:6">
      <c r="A1072" s="9" t="str">
        <f>"10022103620"</f>
        <v>10022103620</v>
      </c>
      <c r="B1072" s="10">
        <v>0</v>
      </c>
      <c r="C1072" s="9"/>
      <c r="D1072" s="9">
        <f t="shared" si="16"/>
        <v>0</v>
      </c>
      <c r="E1072" s="11"/>
      <c r="F1072" s="9" t="s">
        <v>7</v>
      </c>
    </row>
    <row r="1073" s="1" customFormat="1" customHeight="1" spans="1:6">
      <c r="A1073" s="9" t="str">
        <f>"10522103621"</f>
        <v>10522103621</v>
      </c>
      <c r="B1073" s="10">
        <v>30.3</v>
      </c>
      <c r="C1073" s="9"/>
      <c r="D1073" s="9">
        <f t="shared" si="16"/>
        <v>30.3</v>
      </c>
      <c r="E1073" s="11"/>
      <c r="F1073" s="9"/>
    </row>
    <row r="1074" s="1" customFormat="1" customHeight="1" spans="1:6">
      <c r="A1074" s="9" t="str">
        <f>"10502103622"</f>
        <v>10502103622</v>
      </c>
      <c r="B1074" s="10">
        <v>0</v>
      </c>
      <c r="C1074" s="9"/>
      <c r="D1074" s="9">
        <f t="shared" si="16"/>
        <v>0</v>
      </c>
      <c r="E1074" s="11"/>
      <c r="F1074" s="9" t="s">
        <v>7</v>
      </c>
    </row>
    <row r="1075" s="1" customFormat="1" customHeight="1" spans="1:6">
      <c r="A1075" s="9" t="str">
        <f>"10022103623"</f>
        <v>10022103623</v>
      </c>
      <c r="B1075" s="10">
        <v>51.97</v>
      </c>
      <c r="C1075" s="9"/>
      <c r="D1075" s="9">
        <f t="shared" si="16"/>
        <v>51.97</v>
      </c>
      <c r="E1075" s="11"/>
      <c r="F1075" s="9"/>
    </row>
    <row r="1076" s="1" customFormat="1" customHeight="1" spans="1:6">
      <c r="A1076" s="9" t="str">
        <f>"10362103624"</f>
        <v>10362103624</v>
      </c>
      <c r="B1076" s="10">
        <v>0</v>
      </c>
      <c r="C1076" s="9"/>
      <c r="D1076" s="9">
        <f t="shared" si="16"/>
        <v>0</v>
      </c>
      <c r="E1076" s="11"/>
      <c r="F1076" s="9" t="s">
        <v>7</v>
      </c>
    </row>
    <row r="1077" s="1" customFormat="1" customHeight="1" spans="1:6">
      <c r="A1077" s="9" t="str">
        <f>"10362103625"</f>
        <v>10362103625</v>
      </c>
      <c r="B1077" s="10">
        <v>40.8</v>
      </c>
      <c r="C1077" s="9"/>
      <c r="D1077" s="9">
        <f t="shared" si="16"/>
        <v>40.8</v>
      </c>
      <c r="E1077" s="11"/>
      <c r="F1077" s="9"/>
    </row>
    <row r="1078" s="1" customFormat="1" customHeight="1" spans="1:6">
      <c r="A1078" s="9" t="str">
        <f>"10062103626"</f>
        <v>10062103626</v>
      </c>
      <c r="B1078" s="10">
        <v>0</v>
      </c>
      <c r="C1078" s="9"/>
      <c r="D1078" s="9">
        <f t="shared" si="16"/>
        <v>0</v>
      </c>
      <c r="E1078" s="11"/>
      <c r="F1078" s="9" t="s">
        <v>7</v>
      </c>
    </row>
    <row r="1079" s="1" customFormat="1" customHeight="1" spans="1:6">
      <c r="A1079" s="9" t="str">
        <f>"10362103627"</f>
        <v>10362103627</v>
      </c>
      <c r="B1079" s="10">
        <v>0</v>
      </c>
      <c r="C1079" s="9"/>
      <c r="D1079" s="9">
        <f t="shared" si="16"/>
        <v>0</v>
      </c>
      <c r="E1079" s="11"/>
      <c r="F1079" s="9" t="s">
        <v>7</v>
      </c>
    </row>
    <row r="1080" s="1" customFormat="1" customHeight="1" spans="1:6">
      <c r="A1080" s="9" t="str">
        <f>"10362103628"</f>
        <v>10362103628</v>
      </c>
      <c r="B1080" s="10">
        <v>33.08</v>
      </c>
      <c r="C1080" s="9"/>
      <c r="D1080" s="9">
        <f t="shared" si="16"/>
        <v>33.08</v>
      </c>
      <c r="E1080" s="11"/>
      <c r="F1080" s="9"/>
    </row>
    <row r="1081" s="1" customFormat="1" customHeight="1" spans="1:6">
      <c r="A1081" s="9" t="str">
        <f>"10102103629"</f>
        <v>10102103629</v>
      </c>
      <c r="B1081" s="10">
        <v>47.82</v>
      </c>
      <c r="C1081" s="9"/>
      <c r="D1081" s="9">
        <f t="shared" si="16"/>
        <v>47.82</v>
      </c>
      <c r="E1081" s="11"/>
      <c r="F1081" s="9"/>
    </row>
    <row r="1082" s="1" customFormat="1" customHeight="1" spans="1:6">
      <c r="A1082" s="9" t="str">
        <f>"10512103630"</f>
        <v>10512103630</v>
      </c>
      <c r="B1082" s="10">
        <v>0</v>
      </c>
      <c r="C1082" s="9"/>
      <c r="D1082" s="9">
        <f t="shared" si="16"/>
        <v>0</v>
      </c>
      <c r="E1082" s="11"/>
      <c r="F1082" s="9" t="s">
        <v>7</v>
      </c>
    </row>
    <row r="1083" s="1" customFormat="1" customHeight="1" spans="1:6">
      <c r="A1083" s="9" t="str">
        <f>"10362103701"</f>
        <v>10362103701</v>
      </c>
      <c r="B1083" s="10">
        <v>37.23</v>
      </c>
      <c r="C1083" s="9"/>
      <c r="D1083" s="9">
        <f t="shared" si="16"/>
        <v>37.23</v>
      </c>
      <c r="E1083" s="11"/>
      <c r="F1083" s="9"/>
    </row>
    <row r="1084" s="1" customFormat="1" customHeight="1" spans="1:6">
      <c r="A1084" s="9" t="str">
        <f>"10272103702"</f>
        <v>10272103702</v>
      </c>
      <c r="B1084" s="10">
        <v>39.02</v>
      </c>
      <c r="C1084" s="9"/>
      <c r="D1084" s="9">
        <f t="shared" si="16"/>
        <v>39.02</v>
      </c>
      <c r="E1084" s="11"/>
      <c r="F1084" s="9"/>
    </row>
    <row r="1085" s="1" customFormat="1" customHeight="1" spans="1:6">
      <c r="A1085" s="9" t="str">
        <f>"10402103703"</f>
        <v>10402103703</v>
      </c>
      <c r="B1085" s="10">
        <v>48.31</v>
      </c>
      <c r="C1085" s="9"/>
      <c r="D1085" s="9">
        <f t="shared" si="16"/>
        <v>48.31</v>
      </c>
      <c r="E1085" s="11"/>
      <c r="F1085" s="9"/>
    </row>
    <row r="1086" s="1" customFormat="1" customHeight="1" spans="1:6">
      <c r="A1086" s="9" t="str">
        <f>"10172103704"</f>
        <v>10172103704</v>
      </c>
      <c r="B1086" s="10">
        <v>38.85</v>
      </c>
      <c r="C1086" s="9"/>
      <c r="D1086" s="9">
        <f t="shared" si="16"/>
        <v>38.85</v>
      </c>
      <c r="E1086" s="11"/>
      <c r="F1086" s="9"/>
    </row>
    <row r="1087" s="1" customFormat="1" customHeight="1" spans="1:6">
      <c r="A1087" s="9" t="str">
        <f>"10372103705"</f>
        <v>10372103705</v>
      </c>
      <c r="B1087" s="10">
        <v>37.97</v>
      </c>
      <c r="C1087" s="9"/>
      <c r="D1087" s="9">
        <f t="shared" si="16"/>
        <v>37.97</v>
      </c>
      <c r="E1087" s="11"/>
      <c r="F1087" s="9"/>
    </row>
    <row r="1088" s="1" customFormat="1" customHeight="1" spans="1:6">
      <c r="A1088" s="9" t="str">
        <f>"10362103706"</f>
        <v>10362103706</v>
      </c>
      <c r="B1088" s="10">
        <v>36.96</v>
      </c>
      <c r="C1088" s="9"/>
      <c r="D1088" s="9">
        <f t="shared" si="16"/>
        <v>36.96</v>
      </c>
      <c r="E1088" s="11"/>
      <c r="F1088" s="9"/>
    </row>
    <row r="1089" s="1" customFormat="1" customHeight="1" spans="1:6">
      <c r="A1089" s="9" t="str">
        <f>"10512103707"</f>
        <v>10512103707</v>
      </c>
      <c r="B1089" s="10">
        <v>31.09</v>
      </c>
      <c r="C1089" s="9">
        <v>10</v>
      </c>
      <c r="D1089" s="9">
        <f t="shared" si="16"/>
        <v>41.09</v>
      </c>
      <c r="E1089" s="12" t="s">
        <v>8</v>
      </c>
      <c r="F1089" s="9"/>
    </row>
    <row r="1090" s="1" customFormat="1" customHeight="1" spans="1:6">
      <c r="A1090" s="9" t="str">
        <f>"10452103708"</f>
        <v>10452103708</v>
      </c>
      <c r="B1090" s="10">
        <v>0</v>
      </c>
      <c r="C1090" s="9"/>
      <c r="D1090" s="9">
        <f t="shared" si="16"/>
        <v>0</v>
      </c>
      <c r="E1090" s="11"/>
      <c r="F1090" s="9" t="s">
        <v>7</v>
      </c>
    </row>
    <row r="1091" s="1" customFormat="1" customHeight="1" spans="1:6">
      <c r="A1091" s="9" t="str">
        <f>"10392103709"</f>
        <v>10392103709</v>
      </c>
      <c r="B1091" s="10">
        <v>37.48</v>
      </c>
      <c r="C1091" s="9"/>
      <c r="D1091" s="9">
        <f t="shared" ref="D1091:D1154" si="17">SUM(B1091:C1091)</f>
        <v>37.48</v>
      </c>
      <c r="E1091" s="11"/>
      <c r="F1091" s="9"/>
    </row>
    <row r="1092" s="1" customFormat="1" customHeight="1" spans="1:6">
      <c r="A1092" s="9" t="str">
        <f>"10212103710"</f>
        <v>10212103710</v>
      </c>
      <c r="B1092" s="10">
        <v>0</v>
      </c>
      <c r="C1092" s="9"/>
      <c r="D1092" s="9">
        <f t="shared" si="17"/>
        <v>0</v>
      </c>
      <c r="E1092" s="11"/>
      <c r="F1092" s="9" t="s">
        <v>7</v>
      </c>
    </row>
    <row r="1093" s="1" customFormat="1" customHeight="1" spans="1:6">
      <c r="A1093" s="9" t="str">
        <f>"10352103711"</f>
        <v>10352103711</v>
      </c>
      <c r="B1093" s="10">
        <v>36.12</v>
      </c>
      <c r="C1093" s="9"/>
      <c r="D1093" s="9">
        <f t="shared" si="17"/>
        <v>36.12</v>
      </c>
      <c r="E1093" s="11"/>
      <c r="F1093" s="9"/>
    </row>
    <row r="1094" s="1" customFormat="1" customHeight="1" spans="1:6">
      <c r="A1094" s="9" t="str">
        <f>"10122103712"</f>
        <v>10122103712</v>
      </c>
      <c r="B1094" s="10">
        <v>40.57</v>
      </c>
      <c r="C1094" s="9"/>
      <c r="D1094" s="9">
        <f t="shared" si="17"/>
        <v>40.57</v>
      </c>
      <c r="E1094" s="11"/>
      <c r="F1094" s="9"/>
    </row>
    <row r="1095" s="1" customFormat="1" customHeight="1" spans="1:6">
      <c r="A1095" s="9" t="str">
        <f>"10442103713"</f>
        <v>10442103713</v>
      </c>
      <c r="B1095" s="10">
        <v>0</v>
      </c>
      <c r="C1095" s="9"/>
      <c r="D1095" s="9">
        <f t="shared" si="17"/>
        <v>0</v>
      </c>
      <c r="E1095" s="11"/>
      <c r="F1095" s="9" t="s">
        <v>7</v>
      </c>
    </row>
    <row r="1096" s="1" customFormat="1" customHeight="1" spans="1:6">
      <c r="A1096" s="9" t="str">
        <f>"10122103714"</f>
        <v>10122103714</v>
      </c>
      <c r="B1096" s="10">
        <v>35.3</v>
      </c>
      <c r="C1096" s="9"/>
      <c r="D1096" s="9">
        <f t="shared" si="17"/>
        <v>35.3</v>
      </c>
      <c r="E1096" s="11"/>
      <c r="F1096" s="9"/>
    </row>
    <row r="1097" s="1" customFormat="1" customHeight="1" spans="1:6">
      <c r="A1097" s="9" t="str">
        <f>"10302103715"</f>
        <v>10302103715</v>
      </c>
      <c r="B1097" s="10">
        <v>47.16</v>
      </c>
      <c r="C1097" s="9"/>
      <c r="D1097" s="9">
        <f t="shared" si="17"/>
        <v>47.16</v>
      </c>
      <c r="E1097" s="11"/>
      <c r="F1097" s="9"/>
    </row>
    <row r="1098" s="1" customFormat="1" customHeight="1" spans="1:6">
      <c r="A1098" s="9" t="str">
        <f>"10332103716"</f>
        <v>10332103716</v>
      </c>
      <c r="B1098" s="10">
        <v>31.89</v>
      </c>
      <c r="C1098" s="9"/>
      <c r="D1098" s="9">
        <f t="shared" si="17"/>
        <v>31.89</v>
      </c>
      <c r="E1098" s="11"/>
      <c r="F1098" s="9"/>
    </row>
    <row r="1099" s="1" customFormat="1" customHeight="1" spans="1:6">
      <c r="A1099" s="9" t="str">
        <f>"10242103717"</f>
        <v>10242103717</v>
      </c>
      <c r="B1099" s="10">
        <v>47.92</v>
      </c>
      <c r="C1099" s="9"/>
      <c r="D1099" s="9">
        <f t="shared" si="17"/>
        <v>47.92</v>
      </c>
      <c r="E1099" s="11"/>
      <c r="F1099" s="9"/>
    </row>
    <row r="1100" s="1" customFormat="1" customHeight="1" spans="1:6">
      <c r="A1100" s="9" t="str">
        <f>"10362103718"</f>
        <v>10362103718</v>
      </c>
      <c r="B1100" s="10">
        <v>0</v>
      </c>
      <c r="C1100" s="9"/>
      <c r="D1100" s="9">
        <f t="shared" si="17"/>
        <v>0</v>
      </c>
      <c r="E1100" s="11"/>
      <c r="F1100" s="9" t="s">
        <v>7</v>
      </c>
    </row>
    <row r="1101" s="1" customFormat="1" customHeight="1" spans="1:6">
      <c r="A1101" s="9" t="str">
        <f>"10112103719"</f>
        <v>10112103719</v>
      </c>
      <c r="B1101" s="10">
        <v>0</v>
      </c>
      <c r="C1101" s="9"/>
      <c r="D1101" s="9">
        <f t="shared" si="17"/>
        <v>0</v>
      </c>
      <c r="E1101" s="11"/>
      <c r="F1101" s="9" t="s">
        <v>7</v>
      </c>
    </row>
    <row r="1102" s="1" customFormat="1" customHeight="1" spans="1:6">
      <c r="A1102" s="9" t="str">
        <f>"10142103720"</f>
        <v>10142103720</v>
      </c>
      <c r="B1102" s="10">
        <v>37.61</v>
      </c>
      <c r="C1102" s="9"/>
      <c r="D1102" s="9">
        <f t="shared" si="17"/>
        <v>37.61</v>
      </c>
      <c r="E1102" s="11"/>
      <c r="F1102" s="9"/>
    </row>
    <row r="1103" s="1" customFormat="1" customHeight="1" spans="1:6">
      <c r="A1103" s="9" t="str">
        <f>"10362103721"</f>
        <v>10362103721</v>
      </c>
      <c r="B1103" s="10">
        <v>0</v>
      </c>
      <c r="C1103" s="9"/>
      <c r="D1103" s="9">
        <f t="shared" si="17"/>
        <v>0</v>
      </c>
      <c r="E1103" s="11"/>
      <c r="F1103" s="9" t="s">
        <v>7</v>
      </c>
    </row>
    <row r="1104" s="1" customFormat="1" customHeight="1" spans="1:6">
      <c r="A1104" s="9" t="str">
        <f>"10362103722"</f>
        <v>10362103722</v>
      </c>
      <c r="B1104" s="10">
        <v>43.17</v>
      </c>
      <c r="C1104" s="9"/>
      <c r="D1104" s="9">
        <f t="shared" si="17"/>
        <v>43.17</v>
      </c>
      <c r="E1104" s="11"/>
      <c r="F1104" s="9"/>
    </row>
    <row r="1105" s="1" customFormat="1" customHeight="1" spans="1:6">
      <c r="A1105" s="9" t="str">
        <f>"10132103723"</f>
        <v>10132103723</v>
      </c>
      <c r="B1105" s="10">
        <v>36.65</v>
      </c>
      <c r="C1105" s="9"/>
      <c r="D1105" s="9">
        <f t="shared" si="17"/>
        <v>36.65</v>
      </c>
      <c r="E1105" s="11"/>
      <c r="F1105" s="9"/>
    </row>
    <row r="1106" s="1" customFormat="1" customHeight="1" spans="1:6">
      <c r="A1106" s="9" t="str">
        <f>"10362103724"</f>
        <v>10362103724</v>
      </c>
      <c r="B1106" s="10">
        <v>43.69</v>
      </c>
      <c r="C1106" s="9"/>
      <c r="D1106" s="9">
        <f t="shared" si="17"/>
        <v>43.69</v>
      </c>
      <c r="E1106" s="11"/>
      <c r="F1106" s="9"/>
    </row>
    <row r="1107" s="1" customFormat="1" customHeight="1" spans="1:6">
      <c r="A1107" s="9" t="str">
        <f>"10482103725"</f>
        <v>10482103725</v>
      </c>
      <c r="B1107" s="10">
        <v>0</v>
      </c>
      <c r="C1107" s="9"/>
      <c r="D1107" s="9">
        <f t="shared" si="17"/>
        <v>0</v>
      </c>
      <c r="E1107" s="11"/>
      <c r="F1107" s="9" t="s">
        <v>7</v>
      </c>
    </row>
    <row r="1108" s="1" customFormat="1" customHeight="1" spans="1:6">
      <c r="A1108" s="9" t="str">
        <f>"10042103726"</f>
        <v>10042103726</v>
      </c>
      <c r="B1108" s="10">
        <v>40.56</v>
      </c>
      <c r="C1108" s="9"/>
      <c r="D1108" s="9">
        <f t="shared" si="17"/>
        <v>40.56</v>
      </c>
      <c r="E1108" s="11"/>
      <c r="F1108" s="9"/>
    </row>
    <row r="1109" s="1" customFormat="1" customHeight="1" spans="1:6">
      <c r="A1109" s="9" t="str">
        <f>"10062103727"</f>
        <v>10062103727</v>
      </c>
      <c r="B1109" s="10">
        <v>0</v>
      </c>
      <c r="C1109" s="9"/>
      <c r="D1109" s="9">
        <f t="shared" si="17"/>
        <v>0</v>
      </c>
      <c r="E1109" s="11"/>
      <c r="F1109" s="9" t="s">
        <v>7</v>
      </c>
    </row>
    <row r="1110" s="1" customFormat="1" customHeight="1" spans="1:6">
      <c r="A1110" s="9" t="str">
        <f>"10362103728"</f>
        <v>10362103728</v>
      </c>
      <c r="B1110" s="10">
        <v>40.28</v>
      </c>
      <c r="C1110" s="9"/>
      <c r="D1110" s="9">
        <f t="shared" si="17"/>
        <v>40.28</v>
      </c>
      <c r="E1110" s="11"/>
      <c r="F1110" s="9"/>
    </row>
    <row r="1111" s="1" customFormat="1" customHeight="1" spans="1:6">
      <c r="A1111" s="9" t="str">
        <f>"10282103729"</f>
        <v>10282103729</v>
      </c>
      <c r="B1111" s="10">
        <v>32.21</v>
      </c>
      <c r="C1111" s="9"/>
      <c r="D1111" s="9">
        <f t="shared" si="17"/>
        <v>32.21</v>
      </c>
      <c r="E1111" s="11"/>
      <c r="F1111" s="9"/>
    </row>
    <row r="1112" s="1" customFormat="1" customHeight="1" spans="1:6">
      <c r="A1112" s="9" t="str">
        <f>"10272103730"</f>
        <v>10272103730</v>
      </c>
      <c r="B1112" s="10">
        <v>0</v>
      </c>
      <c r="C1112" s="9"/>
      <c r="D1112" s="9">
        <f t="shared" si="17"/>
        <v>0</v>
      </c>
      <c r="E1112" s="11"/>
      <c r="F1112" s="9" t="s">
        <v>7</v>
      </c>
    </row>
    <row r="1113" s="1" customFormat="1" customHeight="1" spans="1:6">
      <c r="A1113" s="9" t="str">
        <f>"10362103801"</f>
        <v>10362103801</v>
      </c>
      <c r="B1113" s="10">
        <v>32.06</v>
      </c>
      <c r="C1113" s="9"/>
      <c r="D1113" s="9">
        <f t="shared" si="17"/>
        <v>32.06</v>
      </c>
      <c r="E1113" s="11"/>
      <c r="F1113" s="9"/>
    </row>
    <row r="1114" s="1" customFormat="1" customHeight="1" spans="1:6">
      <c r="A1114" s="9" t="str">
        <f>"10182103802"</f>
        <v>10182103802</v>
      </c>
      <c r="B1114" s="10">
        <v>42.17</v>
      </c>
      <c r="C1114" s="9"/>
      <c r="D1114" s="9">
        <f t="shared" si="17"/>
        <v>42.17</v>
      </c>
      <c r="E1114" s="11"/>
      <c r="F1114" s="9"/>
    </row>
    <row r="1115" s="1" customFormat="1" customHeight="1" spans="1:6">
      <c r="A1115" s="9" t="str">
        <f>"10362103803"</f>
        <v>10362103803</v>
      </c>
      <c r="B1115" s="10">
        <v>0</v>
      </c>
      <c r="C1115" s="9"/>
      <c r="D1115" s="9">
        <f t="shared" si="17"/>
        <v>0</v>
      </c>
      <c r="E1115" s="11"/>
      <c r="F1115" s="9" t="s">
        <v>7</v>
      </c>
    </row>
    <row r="1116" s="1" customFormat="1" customHeight="1" spans="1:6">
      <c r="A1116" s="9" t="str">
        <f>"20272103804"</f>
        <v>20272103804</v>
      </c>
      <c r="B1116" s="10">
        <v>0</v>
      </c>
      <c r="C1116" s="9"/>
      <c r="D1116" s="9">
        <f t="shared" si="17"/>
        <v>0</v>
      </c>
      <c r="E1116" s="11"/>
      <c r="F1116" s="9" t="s">
        <v>7</v>
      </c>
    </row>
    <row r="1117" s="1" customFormat="1" customHeight="1" spans="1:6">
      <c r="A1117" s="9" t="str">
        <f>"10232103805"</f>
        <v>10232103805</v>
      </c>
      <c r="B1117" s="10">
        <v>0</v>
      </c>
      <c r="C1117" s="9"/>
      <c r="D1117" s="9">
        <f t="shared" si="17"/>
        <v>0</v>
      </c>
      <c r="E1117" s="11"/>
      <c r="F1117" s="9" t="s">
        <v>7</v>
      </c>
    </row>
    <row r="1118" s="1" customFormat="1" customHeight="1" spans="1:6">
      <c r="A1118" s="9" t="str">
        <f>"10432103806"</f>
        <v>10432103806</v>
      </c>
      <c r="B1118" s="10">
        <v>38.2</v>
      </c>
      <c r="C1118" s="9"/>
      <c r="D1118" s="9">
        <f t="shared" si="17"/>
        <v>38.2</v>
      </c>
      <c r="E1118" s="11"/>
      <c r="F1118" s="9"/>
    </row>
    <row r="1119" s="1" customFormat="1" customHeight="1" spans="1:6">
      <c r="A1119" s="9" t="str">
        <f>"10112103807"</f>
        <v>10112103807</v>
      </c>
      <c r="B1119" s="10">
        <v>0</v>
      </c>
      <c r="C1119" s="9"/>
      <c r="D1119" s="9">
        <f t="shared" si="17"/>
        <v>0</v>
      </c>
      <c r="E1119" s="11"/>
      <c r="F1119" s="9" t="s">
        <v>7</v>
      </c>
    </row>
    <row r="1120" s="1" customFormat="1" customHeight="1" spans="1:6">
      <c r="A1120" s="9" t="str">
        <f>"10502103808"</f>
        <v>10502103808</v>
      </c>
      <c r="B1120" s="10">
        <v>0</v>
      </c>
      <c r="C1120" s="9"/>
      <c r="D1120" s="9">
        <f t="shared" si="17"/>
        <v>0</v>
      </c>
      <c r="E1120" s="11"/>
      <c r="F1120" s="9" t="s">
        <v>7</v>
      </c>
    </row>
    <row r="1121" s="1" customFormat="1" customHeight="1" spans="1:6">
      <c r="A1121" s="9" t="str">
        <f>"10212103809"</f>
        <v>10212103809</v>
      </c>
      <c r="B1121" s="10">
        <v>78.35</v>
      </c>
      <c r="C1121" s="9"/>
      <c r="D1121" s="9">
        <f t="shared" si="17"/>
        <v>78.35</v>
      </c>
      <c r="E1121" s="11"/>
      <c r="F1121" s="9"/>
    </row>
    <row r="1122" s="1" customFormat="1" customHeight="1" spans="1:6">
      <c r="A1122" s="9" t="str">
        <f>"10452103810"</f>
        <v>10452103810</v>
      </c>
      <c r="B1122" s="10">
        <v>0</v>
      </c>
      <c r="C1122" s="9"/>
      <c r="D1122" s="9">
        <f t="shared" si="17"/>
        <v>0</v>
      </c>
      <c r="E1122" s="11"/>
      <c r="F1122" s="9" t="s">
        <v>7</v>
      </c>
    </row>
    <row r="1123" s="1" customFormat="1" customHeight="1" spans="1:6">
      <c r="A1123" s="9" t="str">
        <f>"10302103811"</f>
        <v>10302103811</v>
      </c>
      <c r="B1123" s="10">
        <v>32.12</v>
      </c>
      <c r="C1123" s="9"/>
      <c r="D1123" s="9">
        <f t="shared" si="17"/>
        <v>32.12</v>
      </c>
      <c r="E1123" s="11"/>
      <c r="F1123" s="9"/>
    </row>
    <row r="1124" s="1" customFormat="1" customHeight="1" spans="1:6">
      <c r="A1124" s="9" t="str">
        <f>"10092103812"</f>
        <v>10092103812</v>
      </c>
      <c r="B1124" s="10">
        <v>0</v>
      </c>
      <c r="C1124" s="9"/>
      <c r="D1124" s="9">
        <f t="shared" si="17"/>
        <v>0</v>
      </c>
      <c r="E1124" s="11"/>
      <c r="F1124" s="9" t="s">
        <v>7</v>
      </c>
    </row>
    <row r="1125" s="1" customFormat="1" customHeight="1" spans="1:6">
      <c r="A1125" s="9" t="str">
        <f>"10112103813"</f>
        <v>10112103813</v>
      </c>
      <c r="B1125" s="10">
        <v>0</v>
      </c>
      <c r="C1125" s="9"/>
      <c r="D1125" s="9">
        <f t="shared" si="17"/>
        <v>0</v>
      </c>
      <c r="E1125" s="11"/>
      <c r="F1125" s="9" t="s">
        <v>7</v>
      </c>
    </row>
    <row r="1126" s="1" customFormat="1" customHeight="1" spans="1:6">
      <c r="A1126" s="9" t="str">
        <f>"10512103814"</f>
        <v>10512103814</v>
      </c>
      <c r="B1126" s="10">
        <v>0</v>
      </c>
      <c r="C1126" s="9"/>
      <c r="D1126" s="9">
        <f t="shared" si="17"/>
        <v>0</v>
      </c>
      <c r="E1126" s="11"/>
      <c r="F1126" s="9" t="s">
        <v>7</v>
      </c>
    </row>
    <row r="1127" s="1" customFormat="1" customHeight="1" spans="1:6">
      <c r="A1127" s="9" t="str">
        <f>"20272103815"</f>
        <v>20272103815</v>
      </c>
      <c r="B1127" s="10">
        <v>0</v>
      </c>
      <c r="C1127" s="9"/>
      <c r="D1127" s="9">
        <f t="shared" si="17"/>
        <v>0</v>
      </c>
      <c r="E1127" s="11"/>
      <c r="F1127" s="9" t="s">
        <v>7</v>
      </c>
    </row>
    <row r="1128" s="1" customFormat="1" customHeight="1" spans="1:6">
      <c r="A1128" s="9" t="str">
        <f>"10072103816"</f>
        <v>10072103816</v>
      </c>
      <c r="B1128" s="10">
        <v>35.28</v>
      </c>
      <c r="C1128" s="9"/>
      <c r="D1128" s="9">
        <f t="shared" si="17"/>
        <v>35.28</v>
      </c>
      <c r="E1128" s="11"/>
      <c r="F1128" s="9"/>
    </row>
    <row r="1129" s="1" customFormat="1" customHeight="1" spans="1:6">
      <c r="A1129" s="9" t="str">
        <f>"10202103817"</f>
        <v>10202103817</v>
      </c>
      <c r="B1129" s="10">
        <v>54.64</v>
      </c>
      <c r="C1129" s="9"/>
      <c r="D1129" s="9">
        <f t="shared" si="17"/>
        <v>54.64</v>
      </c>
      <c r="E1129" s="11"/>
      <c r="F1129" s="9"/>
    </row>
    <row r="1130" s="1" customFormat="1" customHeight="1" spans="1:6">
      <c r="A1130" s="9" t="str">
        <f>"10432103818"</f>
        <v>10432103818</v>
      </c>
      <c r="B1130" s="10">
        <v>39.85</v>
      </c>
      <c r="C1130" s="9"/>
      <c r="D1130" s="9">
        <f t="shared" si="17"/>
        <v>39.85</v>
      </c>
      <c r="E1130" s="11"/>
      <c r="F1130" s="9"/>
    </row>
    <row r="1131" s="1" customFormat="1" customHeight="1" spans="1:6">
      <c r="A1131" s="9" t="str">
        <f>"10532103819"</f>
        <v>10532103819</v>
      </c>
      <c r="B1131" s="10">
        <v>41.58</v>
      </c>
      <c r="C1131" s="9"/>
      <c r="D1131" s="9">
        <f t="shared" si="17"/>
        <v>41.58</v>
      </c>
      <c r="E1131" s="11"/>
      <c r="F1131" s="9"/>
    </row>
    <row r="1132" s="1" customFormat="1" customHeight="1" spans="1:6">
      <c r="A1132" s="9" t="str">
        <f>"10302103820"</f>
        <v>10302103820</v>
      </c>
      <c r="B1132" s="10">
        <v>33.2</v>
      </c>
      <c r="C1132" s="9"/>
      <c r="D1132" s="9">
        <f t="shared" si="17"/>
        <v>33.2</v>
      </c>
      <c r="E1132" s="11"/>
      <c r="F1132" s="9"/>
    </row>
    <row r="1133" s="1" customFormat="1" customHeight="1" spans="1:6">
      <c r="A1133" s="9" t="str">
        <f>"10512103821"</f>
        <v>10512103821</v>
      </c>
      <c r="B1133" s="10">
        <v>37.16</v>
      </c>
      <c r="C1133" s="9"/>
      <c r="D1133" s="9">
        <f t="shared" si="17"/>
        <v>37.16</v>
      </c>
      <c r="E1133" s="11"/>
      <c r="F1133" s="9"/>
    </row>
    <row r="1134" s="1" customFormat="1" customHeight="1" spans="1:6">
      <c r="A1134" s="9" t="str">
        <f>"10512103822"</f>
        <v>10512103822</v>
      </c>
      <c r="B1134" s="10">
        <v>41.99</v>
      </c>
      <c r="C1134" s="9"/>
      <c r="D1134" s="9">
        <f t="shared" si="17"/>
        <v>41.99</v>
      </c>
      <c r="E1134" s="11"/>
      <c r="F1134" s="9"/>
    </row>
    <row r="1135" s="1" customFormat="1" customHeight="1" spans="1:6">
      <c r="A1135" s="9" t="str">
        <f>"10422103823"</f>
        <v>10422103823</v>
      </c>
      <c r="B1135" s="10">
        <v>43.54</v>
      </c>
      <c r="C1135" s="9"/>
      <c r="D1135" s="9">
        <f t="shared" si="17"/>
        <v>43.54</v>
      </c>
      <c r="E1135" s="11"/>
      <c r="F1135" s="9"/>
    </row>
    <row r="1136" s="1" customFormat="1" customHeight="1" spans="1:6">
      <c r="A1136" s="9" t="str">
        <f>"10352103824"</f>
        <v>10352103824</v>
      </c>
      <c r="B1136" s="10">
        <v>37.85</v>
      </c>
      <c r="C1136" s="9"/>
      <c r="D1136" s="9">
        <f t="shared" si="17"/>
        <v>37.85</v>
      </c>
      <c r="E1136" s="11"/>
      <c r="F1136" s="9"/>
    </row>
    <row r="1137" s="1" customFormat="1" customHeight="1" spans="1:6">
      <c r="A1137" s="9" t="str">
        <f>"10362103825"</f>
        <v>10362103825</v>
      </c>
      <c r="B1137" s="10">
        <v>34.35</v>
      </c>
      <c r="C1137" s="9"/>
      <c r="D1137" s="9">
        <f t="shared" si="17"/>
        <v>34.35</v>
      </c>
      <c r="E1137" s="11"/>
      <c r="F1137" s="9"/>
    </row>
    <row r="1138" s="1" customFormat="1" customHeight="1" spans="1:6">
      <c r="A1138" s="9" t="str">
        <f>"10502103826"</f>
        <v>10502103826</v>
      </c>
      <c r="B1138" s="10">
        <v>36.06</v>
      </c>
      <c r="C1138" s="9"/>
      <c r="D1138" s="9">
        <f t="shared" si="17"/>
        <v>36.06</v>
      </c>
      <c r="E1138" s="11"/>
      <c r="F1138" s="9"/>
    </row>
    <row r="1139" s="1" customFormat="1" customHeight="1" spans="1:6">
      <c r="A1139" s="9" t="str">
        <f>"10532103827"</f>
        <v>10532103827</v>
      </c>
      <c r="B1139" s="10">
        <v>0</v>
      </c>
      <c r="C1139" s="9"/>
      <c r="D1139" s="9">
        <f t="shared" si="17"/>
        <v>0</v>
      </c>
      <c r="E1139" s="11"/>
      <c r="F1139" s="9" t="s">
        <v>7</v>
      </c>
    </row>
    <row r="1140" s="1" customFormat="1" customHeight="1" spans="1:6">
      <c r="A1140" s="9" t="str">
        <f>"10332103828"</f>
        <v>10332103828</v>
      </c>
      <c r="B1140" s="10">
        <v>32.07</v>
      </c>
      <c r="C1140" s="9"/>
      <c r="D1140" s="9">
        <f t="shared" si="17"/>
        <v>32.07</v>
      </c>
      <c r="E1140" s="11"/>
      <c r="F1140" s="9"/>
    </row>
    <row r="1141" s="1" customFormat="1" customHeight="1" spans="1:6">
      <c r="A1141" s="9" t="str">
        <f>"10272103829"</f>
        <v>10272103829</v>
      </c>
      <c r="B1141" s="10">
        <v>42.63</v>
      </c>
      <c r="C1141" s="9"/>
      <c r="D1141" s="9">
        <f t="shared" si="17"/>
        <v>42.63</v>
      </c>
      <c r="E1141" s="11"/>
      <c r="F1141" s="9"/>
    </row>
    <row r="1142" s="1" customFormat="1" customHeight="1" spans="1:6">
      <c r="A1142" s="9" t="str">
        <f>"10522103830"</f>
        <v>10522103830</v>
      </c>
      <c r="B1142" s="10">
        <v>34.73</v>
      </c>
      <c r="C1142" s="9"/>
      <c r="D1142" s="9">
        <f t="shared" si="17"/>
        <v>34.73</v>
      </c>
      <c r="E1142" s="11"/>
      <c r="F1142" s="9"/>
    </row>
    <row r="1143" s="1" customFormat="1" customHeight="1" spans="1:6">
      <c r="A1143" s="9" t="str">
        <f>"10122103901"</f>
        <v>10122103901</v>
      </c>
      <c r="B1143" s="10">
        <v>44.87</v>
      </c>
      <c r="C1143" s="9"/>
      <c r="D1143" s="9">
        <f t="shared" si="17"/>
        <v>44.87</v>
      </c>
      <c r="E1143" s="11"/>
      <c r="F1143" s="9"/>
    </row>
    <row r="1144" s="1" customFormat="1" customHeight="1" spans="1:6">
      <c r="A1144" s="9" t="str">
        <f>"10362103902"</f>
        <v>10362103902</v>
      </c>
      <c r="B1144" s="10">
        <v>0</v>
      </c>
      <c r="C1144" s="9"/>
      <c r="D1144" s="9">
        <f t="shared" si="17"/>
        <v>0</v>
      </c>
      <c r="E1144" s="11"/>
      <c r="F1144" s="9" t="s">
        <v>7</v>
      </c>
    </row>
    <row r="1145" s="1" customFormat="1" customHeight="1" spans="1:6">
      <c r="A1145" s="9" t="str">
        <f>"10122103903"</f>
        <v>10122103903</v>
      </c>
      <c r="B1145" s="10">
        <v>41.46</v>
      </c>
      <c r="C1145" s="9"/>
      <c r="D1145" s="9">
        <f t="shared" si="17"/>
        <v>41.46</v>
      </c>
      <c r="E1145" s="11"/>
      <c r="F1145" s="9"/>
    </row>
    <row r="1146" s="1" customFormat="1" customHeight="1" spans="1:6">
      <c r="A1146" s="9" t="str">
        <f>"10232103904"</f>
        <v>10232103904</v>
      </c>
      <c r="B1146" s="10">
        <v>43.47</v>
      </c>
      <c r="C1146" s="9"/>
      <c r="D1146" s="9">
        <f t="shared" si="17"/>
        <v>43.47</v>
      </c>
      <c r="E1146" s="11"/>
      <c r="F1146" s="9"/>
    </row>
    <row r="1147" s="1" customFormat="1" customHeight="1" spans="1:6">
      <c r="A1147" s="9" t="str">
        <f>"10362103905"</f>
        <v>10362103905</v>
      </c>
      <c r="B1147" s="10">
        <v>37.59</v>
      </c>
      <c r="C1147" s="9"/>
      <c r="D1147" s="9">
        <f t="shared" si="17"/>
        <v>37.59</v>
      </c>
      <c r="E1147" s="11"/>
      <c r="F1147" s="9"/>
    </row>
    <row r="1148" s="1" customFormat="1" customHeight="1" spans="1:6">
      <c r="A1148" s="9" t="str">
        <f>"10022103906"</f>
        <v>10022103906</v>
      </c>
      <c r="B1148" s="10">
        <v>35.41</v>
      </c>
      <c r="C1148" s="9"/>
      <c r="D1148" s="9">
        <f t="shared" si="17"/>
        <v>35.41</v>
      </c>
      <c r="E1148" s="11"/>
      <c r="F1148" s="9"/>
    </row>
    <row r="1149" s="1" customFormat="1" customHeight="1" spans="1:6">
      <c r="A1149" s="9" t="str">
        <f>"10522103907"</f>
        <v>10522103907</v>
      </c>
      <c r="B1149" s="10">
        <v>47.78</v>
      </c>
      <c r="C1149" s="9"/>
      <c r="D1149" s="9">
        <f t="shared" si="17"/>
        <v>47.78</v>
      </c>
      <c r="E1149" s="11"/>
      <c r="F1149" s="9"/>
    </row>
    <row r="1150" s="1" customFormat="1" customHeight="1" spans="1:6">
      <c r="A1150" s="9" t="str">
        <f>"10522103908"</f>
        <v>10522103908</v>
      </c>
      <c r="B1150" s="10">
        <v>0</v>
      </c>
      <c r="C1150" s="9"/>
      <c r="D1150" s="9">
        <f t="shared" si="17"/>
        <v>0</v>
      </c>
      <c r="E1150" s="11"/>
      <c r="F1150" s="9" t="s">
        <v>7</v>
      </c>
    </row>
    <row r="1151" s="1" customFormat="1" customHeight="1" spans="1:6">
      <c r="A1151" s="9" t="str">
        <f>"10432103909"</f>
        <v>10432103909</v>
      </c>
      <c r="B1151" s="10">
        <v>0</v>
      </c>
      <c r="C1151" s="9"/>
      <c r="D1151" s="9">
        <f t="shared" si="17"/>
        <v>0</v>
      </c>
      <c r="E1151" s="11"/>
      <c r="F1151" s="9" t="s">
        <v>7</v>
      </c>
    </row>
    <row r="1152" s="1" customFormat="1" customHeight="1" spans="1:6">
      <c r="A1152" s="9" t="str">
        <f>"20182103910"</f>
        <v>20182103910</v>
      </c>
      <c r="B1152" s="10">
        <v>37.17</v>
      </c>
      <c r="C1152" s="9"/>
      <c r="D1152" s="9">
        <f t="shared" si="17"/>
        <v>37.17</v>
      </c>
      <c r="E1152" s="11"/>
      <c r="F1152" s="9"/>
    </row>
    <row r="1153" s="1" customFormat="1" customHeight="1" spans="1:6">
      <c r="A1153" s="9" t="str">
        <f>"10362103911"</f>
        <v>10362103911</v>
      </c>
      <c r="B1153" s="10">
        <v>34.08</v>
      </c>
      <c r="C1153" s="9"/>
      <c r="D1153" s="9">
        <f t="shared" si="17"/>
        <v>34.08</v>
      </c>
      <c r="E1153" s="11"/>
      <c r="F1153" s="9"/>
    </row>
    <row r="1154" s="1" customFormat="1" customHeight="1" spans="1:6">
      <c r="A1154" s="9" t="str">
        <f>"10332103912"</f>
        <v>10332103912</v>
      </c>
      <c r="B1154" s="10">
        <v>39.68</v>
      </c>
      <c r="C1154" s="9"/>
      <c r="D1154" s="9">
        <f t="shared" si="17"/>
        <v>39.68</v>
      </c>
      <c r="E1154" s="11"/>
      <c r="F1154" s="9"/>
    </row>
    <row r="1155" s="1" customFormat="1" customHeight="1" spans="1:6">
      <c r="A1155" s="9" t="str">
        <f>"10142103913"</f>
        <v>10142103913</v>
      </c>
      <c r="B1155" s="10">
        <v>37.91</v>
      </c>
      <c r="C1155" s="9"/>
      <c r="D1155" s="9">
        <f t="shared" ref="D1155:D1218" si="18">SUM(B1155:C1155)</f>
        <v>37.91</v>
      </c>
      <c r="E1155" s="11"/>
      <c r="F1155" s="9"/>
    </row>
    <row r="1156" s="1" customFormat="1" customHeight="1" spans="1:6">
      <c r="A1156" s="9" t="str">
        <f>"10362103914"</f>
        <v>10362103914</v>
      </c>
      <c r="B1156" s="10">
        <v>36.91</v>
      </c>
      <c r="C1156" s="9"/>
      <c r="D1156" s="9">
        <f t="shared" si="18"/>
        <v>36.91</v>
      </c>
      <c r="E1156" s="11"/>
      <c r="F1156" s="9"/>
    </row>
    <row r="1157" s="1" customFormat="1" customHeight="1" spans="1:6">
      <c r="A1157" s="9" t="str">
        <f>"10302103915"</f>
        <v>10302103915</v>
      </c>
      <c r="B1157" s="10">
        <v>40.35</v>
      </c>
      <c r="C1157" s="9"/>
      <c r="D1157" s="9">
        <f t="shared" si="18"/>
        <v>40.35</v>
      </c>
      <c r="E1157" s="11"/>
      <c r="F1157" s="9"/>
    </row>
    <row r="1158" s="1" customFormat="1" customHeight="1" spans="1:6">
      <c r="A1158" s="9" t="str">
        <f>"10462103916"</f>
        <v>10462103916</v>
      </c>
      <c r="B1158" s="10">
        <v>41.2</v>
      </c>
      <c r="C1158" s="9"/>
      <c r="D1158" s="9">
        <f t="shared" si="18"/>
        <v>41.2</v>
      </c>
      <c r="E1158" s="11"/>
      <c r="F1158" s="9"/>
    </row>
    <row r="1159" s="1" customFormat="1" customHeight="1" spans="1:6">
      <c r="A1159" s="9" t="str">
        <f>"10012103917"</f>
        <v>10012103917</v>
      </c>
      <c r="B1159" s="10">
        <v>38.22</v>
      </c>
      <c r="C1159" s="9"/>
      <c r="D1159" s="9">
        <f t="shared" si="18"/>
        <v>38.22</v>
      </c>
      <c r="E1159" s="11"/>
      <c r="F1159" s="9"/>
    </row>
    <row r="1160" s="1" customFormat="1" customHeight="1" spans="1:6">
      <c r="A1160" s="9" t="str">
        <f>"10092103918"</f>
        <v>10092103918</v>
      </c>
      <c r="B1160" s="10">
        <v>0</v>
      </c>
      <c r="C1160" s="9"/>
      <c r="D1160" s="9">
        <f t="shared" si="18"/>
        <v>0</v>
      </c>
      <c r="E1160" s="11"/>
      <c r="F1160" s="9" t="s">
        <v>7</v>
      </c>
    </row>
    <row r="1161" s="1" customFormat="1" customHeight="1" spans="1:6">
      <c r="A1161" s="9" t="str">
        <f>"10082103919"</f>
        <v>10082103919</v>
      </c>
      <c r="B1161" s="10">
        <v>0</v>
      </c>
      <c r="C1161" s="9"/>
      <c r="D1161" s="9">
        <f t="shared" si="18"/>
        <v>0</v>
      </c>
      <c r="E1161" s="11"/>
      <c r="F1161" s="9" t="s">
        <v>7</v>
      </c>
    </row>
    <row r="1162" s="1" customFormat="1" customHeight="1" spans="1:6">
      <c r="A1162" s="9" t="str">
        <f>"10012103920"</f>
        <v>10012103920</v>
      </c>
      <c r="B1162" s="10">
        <v>0</v>
      </c>
      <c r="C1162" s="9"/>
      <c r="D1162" s="9">
        <f t="shared" si="18"/>
        <v>0</v>
      </c>
      <c r="E1162" s="11"/>
      <c r="F1162" s="9" t="s">
        <v>7</v>
      </c>
    </row>
    <row r="1163" s="1" customFormat="1" customHeight="1" spans="1:6">
      <c r="A1163" s="9" t="str">
        <f>"10022103921"</f>
        <v>10022103921</v>
      </c>
      <c r="B1163" s="10">
        <v>0</v>
      </c>
      <c r="C1163" s="9"/>
      <c r="D1163" s="9">
        <f t="shared" si="18"/>
        <v>0</v>
      </c>
      <c r="E1163" s="11"/>
      <c r="F1163" s="9" t="s">
        <v>7</v>
      </c>
    </row>
    <row r="1164" s="1" customFormat="1" customHeight="1" spans="1:6">
      <c r="A1164" s="9" t="str">
        <f>"10362103922"</f>
        <v>10362103922</v>
      </c>
      <c r="B1164" s="10">
        <v>47.78</v>
      </c>
      <c r="C1164" s="9"/>
      <c r="D1164" s="9">
        <f t="shared" si="18"/>
        <v>47.78</v>
      </c>
      <c r="E1164" s="11"/>
      <c r="F1164" s="9"/>
    </row>
    <row r="1165" s="1" customFormat="1" customHeight="1" spans="1:6">
      <c r="A1165" s="9" t="str">
        <f>"10442103923"</f>
        <v>10442103923</v>
      </c>
      <c r="B1165" s="10">
        <v>37.22</v>
      </c>
      <c r="C1165" s="9"/>
      <c r="D1165" s="9">
        <f t="shared" si="18"/>
        <v>37.22</v>
      </c>
      <c r="E1165" s="11"/>
      <c r="F1165" s="9"/>
    </row>
    <row r="1166" s="1" customFormat="1" customHeight="1" spans="1:6">
      <c r="A1166" s="9" t="str">
        <f>"10132103924"</f>
        <v>10132103924</v>
      </c>
      <c r="B1166" s="10">
        <v>42.33</v>
      </c>
      <c r="C1166" s="9"/>
      <c r="D1166" s="9">
        <f t="shared" si="18"/>
        <v>42.33</v>
      </c>
      <c r="E1166" s="11"/>
      <c r="F1166" s="9"/>
    </row>
    <row r="1167" s="1" customFormat="1" customHeight="1" spans="1:6">
      <c r="A1167" s="9" t="str">
        <f>"10292103925"</f>
        <v>10292103925</v>
      </c>
      <c r="B1167" s="10">
        <v>43.67</v>
      </c>
      <c r="C1167" s="9"/>
      <c r="D1167" s="9">
        <f t="shared" si="18"/>
        <v>43.67</v>
      </c>
      <c r="E1167" s="11"/>
      <c r="F1167" s="9"/>
    </row>
    <row r="1168" s="1" customFormat="1" customHeight="1" spans="1:6">
      <c r="A1168" s="9" t="str">
        <f>"10512103926"</f>
        <v>10512103926</v>
      </c>
      <c r="B1168" s="10">
        <v>37.97</v>
      </c>
      <c r="C1168" s="9"/>
      <c r="D1168" s="9">
        <f t="shared" si="18"/>
        <v>37.97</v>
      </c>
      <c r="E1168" s="11"/>
      <c r="F1168" s="9"/>
    </row>
    <row r="1169" s="1" customFormat="1" customHeight="1" spans="1:6">
      <c r="A1169" s="9" t="str">
        <f>"10232103927"</f>
        <v>10232103927</v>
      </c>
      <c r="B1169" s="10">
        <v>0</v>
      </c>
      <c r="C1169" s="9"/>
      <c r="D1169" s="9">
        <f t="shared" si="18"/>
        <v>0</v>
      </c>
      <c r="E1169" s="11"/>
      <c r="F1169" s="9" t="s">
        <v>7</v>
      </c>
    </row>
    <row r="1170" s="1" customFormat="1" customHeight="1" spans="1:6">
      <c r="A1170" s="9" t="str">
        <f>"10332103928"</f>
        <v>10332103928</v>
      </c>
      <c r="B1170" s="10">
        <v>0</v>
      </c>
      <c r="C1170" s="9"/>
      <c r="D1170" s="9">
        <f t="shared" si="18"/>
        <v>0</v>
      </c>
      <c r="E1170" s="11"/>
      <c r="F1170" s="9" t="s">
        <v>7</v>
      </c>
    </row>
    <row r="1171" s="1" customFormat="1" customHeight="1" spans="1:6">
      <c r="A1171" s="9" t="str">
        <f>"10522103929"</f>
        <v>10522103929</v>
      </c>
      <c r="B1171" s="10">
        <v>42.7</v>
      </c>
      <c r="C1171" s="9"/>
      <c r="D1171" s="9">
        <f t="shared" si="18"/>
        <v>42.7</v>
      </c>
      <c r="E1171" s="11"/>
      <c r="F1171" s="9"/>
    </row>
    <row r="1172" s="1" customFormat="1" customHeight="1" spans="1:6">
      <c r="A1172" s="9" t="str">
        <f>"10502103930"</f>
        <v>10502103930</v>
      </c>
      <c r="B1172" s="10">
        <v>0</v>
      </c>
      <c r="C1172" s="9"/>
      <c r="D1172" s="9">
        <f t="shared" si="18"/>
        <v>0</v>
      </c>
      <c r="E1172" s="11"/>
      <c r="F1172" s="9" t="s">
        <v>7</v>
      </c>
    </row>
    <row r="1173" s="1" customFormat="1" customHeight="1" spans="1:6">
      <c r="A1173" s="9" t="str">
        <f>"10512104001"</f>
        <v>10512104001</v>
      </c>
      <c r="B1173" s="10">
        <v>0</v>
      </c>
      <c r="C1173" s="9"/>
      <c r="D1173" s="9">
        <f t="shared" si="18"/>
        <v>0</v>
      </c>
      <c r="E1173" s="11"/>
      <c r="F1173" s="9" t="s">
        <v>7</v>
      </c>
    </row>
    <row r="1174" s="1" customFormat="1" customHeight="1" spans="1:6">
      <c r="A1174" s="9" t="str">
        <f>"10412104002"</f>
        <v>10412104002</v>
      </c>
      <c r="B1174" s="10">
        <v>0</v>
      </c>
      <c r="C1174" s="9"/>
      <c r="D1174" s="9">
        <f t="shared" si="18"/>
        <v>0</v>
      </c>
      <c r="E1174" s="11"/>
      <c r="F1174" s="9" t="s">
        <v>7</v>
      </c>
    </row>
    <row r="1175" s="1" customFormat="1" customHeight="1" spans="1:6">
      <c r="A1175" s="9" t="str">
        <f>"10362104003"</f>
        <v>10362104003</v>
      </c>
      <c r="B1175" s="10">
        <v>32.05</v>
      </c>
      <c r="C1175" s="9"/>
      <c r="D1175" s="9">
        <f t="shared" si="18"/>
        <v>32.05</v>
      </c>
      <c r="E1175" s="11"/>
      <c r="F1175" s="9"/>
    </row>
    <row r="1176" s="1" customFormat="1" customHeight="1" spans="1:6">
      <c r="A1176" s="9" t="str">
        <f>"10212104004"</f>
        <v>10212104004</v>
      </c>
      <c r="B1176" s="10">
        <v>42.73</v>
      </c>
      <c r="C1176" s="9"/>
      <c r="D1176" s="9">
        <f t="shared" si="18"/>
        <v>42.73</v>
      </c>
      <c r="E1176" s="11"/>
      <c r="F1176" s="9"/>
    </row>
    <row r="1177" s="1" customFormat="1" customHeight="1" spans="1:6">
      <c r="A1177" s="9" t="str">
        <f>"10362104005"</f>
        <v>10362104005</v>
      </c>
      <c r="B1177" s="10">
        <v>38.66</v>
      </c>
      <c r="C1177" s="9"/>
      <c r="D1177" s="9">
        <f t="shared" si="18"/>
        <v>38.66</v>
      </c>
      <c r="E1177" s="11"/>
      <c r="F1177" s="9"/>
    </row>
    <row r="1178" s="1" customFormat="1" customHeight="1" spans="1:6">
      <c r="A1178" s="9" t="str">
        <f>"10332104006"</f>
        <v>10332104006</v>
      </c>
      <c r="B1178" s="10">
        <v>0</v>
      </c>
      <c r="C1178" s="9"/>
      <c r="D1178" s="9">
        <f t="shared" si="18"/>
        <v>0</v>
      </c>
      <c r="E1178" s="11"/>
      <c r="F1178" s="9" t="s">
        <v>7</v>
      </c>
    </row>
    <row r="1179" s="1" customFormat="1" customHeight="1" spans="1:6">
      <c r="A1179" s="9" t="str">
        <f>"10332104007"</f>
        <v>10332104007</v>
      </c>
      <c r="B1179" s="10">
        <v>82.18</v>
      </c>
      <c r="C1179" s="9"/>
      <c r="D1179" s="9">
        <f t="shared" si="18"/>
        <v>82.18</v>
      </c>
      <c r="E1179" s="11"/>
      <c r="F1179" s="9"/>
    </row>
    <row r="1180" s="1" customFormat="1" customHeight="1" spans="1:6">
      <c r="A1180" s="9" t="str">
        <f>"10302104008"</f>
        <v>10302104008</v>
      </c>
      <c r="B1180" s="10">
        <v>31.33</v>
      </c>
      <c r="C1180" s="9"/>
      <c r="D1180" s="9">
        <f t="shared" si="18"/>
        <v>31.33</v>
      </c>
      <c r="E1180" s="11"/>
      <c r="F1180" s="9"/>
    </row>
    <row r="1181" s="1" customFormat="1" customHeight="1" spans="1:6">
      <c r="A1181" s="9" t="str">
        <f>"20272104009"</f>
        <v>20272104009</v>
      </c>
      <c r="B1181" s="10">
        <v>38</v>
      </c>
      <c r="C1181" s="9"/>
      <c r="D1181" s="9">
        <f t="shared" si="18"/>
        <v>38</v>
      </c>
      <c r="E1181" s="11"/>
      <c r="F1181" s="9"/>
    </row>
    <row r="1182" s="1" customFormat="1" customHeight="1" spans="1:6">
      <c r="A1182" s="9" t="str">
        <f>"10432104010"</f>
        <v>10432104010</v>
      </c>
      <c r="B1182" s="10">
        <v>38.2</v>
      </c>
      <c r="C1182" s="9"/>
      <c r="D1182" s="9">
        <f t="shared" si="18"/>
        <v>38.2</v>
      </c>
      <c r="E1182" s="11"/>
      <c r="F1182" s="9"/>
    </row>
    <row r="1183" s="1" customFormat="1" customHeight="1" spans="1:6">
      <c r="A1183" s="9" t="str">
        <f>"10182104011"</f>
        <v>10182104011</v>
      </c>
      <c r="B1183" s="10">
        <v>40.09</v>
      </c>
      <c r="C1183" s="9"/>
      <c r="D1183" s="9">
        <f t="shared" si="18"/>
        <v>40.09</v>
      </c>
      <c r="E1183" s="11"/>
      <c r="F1183" s="9"/>
    </row>
    <row r="1184" s="1" customFormat="1" customHeight="1" spans="1:6">
      <c r="A1184" s="9" t="str">
        <f>"10372104012"</f>
        <v>10372104012</v>
      </c>
      <c r="B1184" s="10">
        <v>42.15</v>
      </c>
      <c r="C1184" s="9"/>
      <c r="D1184" s="9">
        <f t="shared" si="18"/>
        <v>42.15</v>
      </c>
      <c r="E1184" s="11"/>
      <c r="F1184" s="9"/>
    </row>
    <row r="1185" s="1" customFormat="1" customHeight="1" spans="1:6">
      <c r="A1185" s="9" t="str">
        <f>"10362104013"</f>
        <v>10362104013</v>
      </c>
      <c r="B1185" s="10">
        <v>23.62</v>
      </c>
      <c r="C1185" s="9"/>
      <c r="D1185" s="9">
        <f t="shared" si="18"/>
        <v>23.62</v>
      </c>
      <c r="E1185" s="11"/>
      <c r="F1185" s="9"/>
    </row>
    <row r="1186" s="1" customFormat="1" customHeight="1" spans="1:6">
      <c r="A1186" s="9" t="str">
        <f>"10362104014"</f>
        <v>10362104014</v>
      </c>
      <c r="B1186" s="10">
        <v>32.95</v>
      </c>
      <c r="C1186" s="9"/>
      <c r="D1186" s="9">
        <f t="shared" si="18"/>
        <v>32.95</v>
      </c>
      <c r="E1186" s="11"/>
      <c r="F1186" s="9"/>
    </row>
    <row r="1187" s="1" customFormat="1" customHeight="1" spans="1:6">
      <c r="A1187" s="9" t="str">
        <f>"10362104015"</f>
        <v>10362104015</v>
      </c>
      <c r="B1187" s="10">
        <v>0</v>
      </c>
      <c r="C1187" s="9"/>
      <c r="D1187" s="9">
        <f t="shared" si="18"/>
        <v>0</v>
      </c>
      <c r="E1187" s="11"/>
      <c r="F1187" s="9" t="s">
        <v>7</v>
      </c>
    </row>
    <row r="1188" s="1" customFormat="1" customHeight="1" spans="1:6">
      <c r="A1188" s="9" t="str">
        <f>"10112104016"</f>
        <v>10112104016</v>
      </c>
      <c r="B1188" s="10">
        <v>35.34</v>
      </c>
      <c r="C1188" s="9"/>
      <c r="D1188" s="9">
        <f t="shared" si="18"/>
        <v>35.34</v>
      </c>
      <c r="E1188" s="11"/>
      <c r="F1188" s="9"/>
    </row>
    <row r="1189" s="1" customFormat="1" customHeight="1" spans="1:6">
      <c r="A1189" s="9" t="str">
        <f>"10172104017"</f>
        <v>10172104017</v>
      </c>
      <c r="B1189" s="10">
        <v>39.63</v>
      </c>
      <c r="C1189" s="9"/>
      <c r="D1189" s="9">
        <f t="shared" si="18"/>
        <v>39.63</v>
      </c>
      <c r="E1189" s="11"/>
      <c r="F1189" s="9"/>
    </row>
    <row r="1190" s="1" customFormat="1" customHeight="1" spans="1:6">
      <c r="A1190" s="9" t="str">
        <f>"10532104018"</f>
        <v>10532104018</v>
      </c>
      <c r="B1190" s="10">
        <v>51.76</v>
      </c>
      <c r="C1190" s="9"/>
      <c r="D1190" s="9">
        <f t="shared" si="18"/>
        <v>51.76</v>
      </c>
      <c r="E1190" s="11"/>
      <c r="F1190" s="9"/>
    </row>
    <row r="1191" s="1" customFormat="1" customHeight="1" spans="1:6">
      <c r="A1191" s="9" t="str">
        <f>"10362104019"</f>
        <v>10362104019</v>
      </c>
      <c r="B1191" s="10">
        <v>37.36</v>
      </c>
      <c r="C1191" s="9"/>
      <c r="D1191" s="9">
        <f t="shared" si="18"/>
        <v>37.36</v>
      </c>
      <c r="E1191" s="11"/>
      <c r="F1191" s="9"/>
    </row>
    <row r="1192" s="1" customFormat="1" customHeight="1" spans="1:6">
      <c r="A1192" s="9" t="str">
        <f>"10362104020"</f>
        <v>10362104020</v>
      </c>
      <c r="B1192" s="10">
        <v>0</v>
      </c>
      <c r="C1192" s="9"/>
      <c r="D1192" s="9">
        <f t="shared" si="18"/>
        <v>0</v>
      </c>
      <c r="E1192" s="11"/>
      <c r="F1192" s="9" t="s">
        <v>7</v>
      </c>
    </row>
    <row r="1193" s="1" customFormat="1" customHeight="1" spans="1:6">
      <c r="A1193" s="9" t="str">
        <f>"10512104021"</f>
        <v>10512104021</v>
      </c>
      <c r="B1193" s="10">
        <v>51.56</v>
      </c>
      <c r="C1193" s="9"/>
      <c r="D1193" s="9">
        <f t="shared" si="18"/>
        <v>51.56</v>
      </c>
      <c r="E1193" s="11"/>
      <c r="F1193" s="9"/>
    </row>
    <row r="1194" s="1" customFormat="1" customHeight="1" spans="1:6">
      <c r="A1194" s="9" t="str">
        <f>"10482104022"</f>
        <v>10482104022</v>
      </c>
      <c r="B1194" s="10">
        <v>0</v>
      </c>
      <c r="C1194" s="9"/>
      <c r="D1194" s="9">
        <f t="shared" si="18"/>
        <v>0</v>
      </c>
      <c r="E1194" s="11"/>
      <c r="F1194" s="9" t="s">
        <v>7</v>
      </c>
    </row>
    <row r="1195" s="1" customFormat="1" customHeight="1" spans="1:6">
      <c r="A1195" s="9" t="str">
        <f>"10302104023"</f>
        <v>10302104023</v>
      </c>
      <c r="B1195" s="10">
        <v>0</v>
      </c>
      <c r="C1195" s="9"/>
      <c r="D1195" s="9">
        <f t="shared" si="18"/>
        <v>0</v>
      </c>
      <c r="E1195" s="11"/>
      <c r="F1195" s="9" t="s">
        <v>7</v>
      </c>
    </row>
    <row r="1196" s="1" customFormat="1" customHeight="1" spans="1:6">
      <c r="A1196" s="9" t="str">
        <f>"10312104024"</f>
        <v>10312104024</v>
      </c>
      <c r="B1196" s="10">
        <v>46.53</v>
      </c>
      <c r="C1196" s="9"/>
      <c r="D1196" s="9">
        <f t="shared" si="18"/>
        <v>46.53</v>
      </c>
      <c r="E1196" s="11"/>
      <c r="F1196" s="9"/>
    </row>
    <row r="1197" s="1" customFormat="1" customHeight="1" spans="1:6">
      <c r="A1197" s="9" t="str">
        <f>"10162104025"</f>
        <v>10162104025</v>
      </c>
      <c r="B1197" s="10">
        <v>0</v>
      </c>
      <c r="C1197" s="9"/>
      <c r="D1197" s="9">
        <f t="shared" si="18"/>
        <v>0</v>
      </c>
      <c r="E1197" s="11"/>
      <c r="F1197" s="9" t="s">
        <v>7</v>
      </c>
    </row>
    <row r="1198" s="1" customFormat="1" customHeight="1" spans="1:6">
      <c r="A1198" s="9" t="str">
        <f>"10362104026"</f>
        <v>10362104026</v>
      </c>
      <c r="B1198" s="10">
        <v>39.12</v>
      </c>
      <c r="C1198" s="9"/>
      <c r="D1198" s="9">
        <f t="shared" si="18"/>
        <v>39.12</v>
      </c>
      <c r="E1198" s="11"/>
      <c r="F1198" s="9"/>
    </row>
    <row r="1199" s="1" customFormat="1" customHeight="1" spans="1:6">
      <c r="A1199" s="9" t="str">
        <f>"10232104027"</f>
        <v>10232104027</v>
      </c>
      <c r="B1199" s="10">
        <v>0</v>
      </c>
      <c r="C1199" s="9"/>
      <c r="D1199" s="9">
        <f t="shared" si="18"/>
        <v>0</v>
      </c>
      <c r="E1199" s="11"/>
      <c r="F1199" s="9" t="s">
        <v>7</v>
      </c>
    </row>
    <row r="1200" s="1" customFormat="1" customHeight="1" spans="1:6">
      <c r="A1200" s="9" t="str">
        <f>"10512104028"</f>
        <v>10512104028</v>
      </c>
      <c r="B1200" s="10">
        <v>37.91</v>
      </c>
      <c r="C1200" s="9"/>
      <c r="D1200" s="9">
        <f t="shared" si="18"/>
        <v>37.91</v>
      </c>
      <c r="E1200" s="11"/>
      <c r="F1200" s="9"/>
    </row>
    <row r="1201" s="1" customFormat="1" customHeight="1" spans="1:6">
      <c r="A1201" s="9" t="str">
        <f>"10242104029"</f>
        <v>10242104029</v>
      </c>
      <c r="B1201" s="10">
        <v>0</v>
      </c>
      <c r="C1201" s="9"/>
      <c r="D1201" s="9">
        <f t="shared" si="18"/>
        <v>0</v>
      </c>
      <c r="E1201" s="11"/>
      <c r="F1201" s="9" t="s">
        <v>7</v>
      </c>
    </row>
    <row r="1202" s="1" customFormat="1" customHeight="1" spans="1:6">
      <c r="A1202" s="9" t="str">
        <f>"10362104030"</f>
        <v>10362104030</v>
      </c>
      <c r="B1202" s="10">
        <v>41.59</v>
      </c>
      <c r="C1202" s="9"/>
      <c r="D1202" s="9">
        <f t="shared" si="18"/>
        <v>41.59</v>
      </c>
      <c r="E1202" s="11"/>
      <c r="F1202" s="9"/>
    </row>
    <row r="1203" s="1" customFormat="1" customHeight="1" spans="1:6">
      <c r="A1203" s="9" t="str">
        <f>"10362104101"</f>
        <v>10362104101</v>
      </c>
      <c r="B1203" s="10">
        <v>42.42</v>
      </c>
      <c r="C1203" s="9"/>
      <c r="D1203" s="9">
        <f t="shared" si="18"/>
        <v>42.42</v>
      </c>
      <c r="E1203" s="11"/>
      <c r="F1203" s="9"/>
    </row>
    <row r="1204" s="1" customFormat="1" customHeight="1" spans="1:6">
      <c r="A1204" s="9" t="str">
        <f>"10132104102"</f>
        <v>10132104102</v>
      </c>
      <c r="B1204" s="10">
        <v>37.97</v>
      </c>
      <c r="C1204" s="9"/>
      <c r="D1204" s="9">
        <f t="shared" si="18"/>
        <v>37.97</v>
      </c>
      <c r="E1204" s="11"/>
      <c r="F1204" s="9"/>
    </row>
    <row r="1205" s="1" customFormat="1" customHeight="1" spans="1:6">
      <c r="A1205" s="9" t="str">
        <f>"10092104103"</f>
        <v>10092104103</v>
      </c>
      <c r="B1205" s="10">
        <v>0</v>
      </c>
      <c r="C1205" s="9"/>
      <c r="D1205" s="9">
        <f t="shared" si="18"/>
        <v>0</v>
      </c>
      <c r="E1205" s="11"/>
      <c r="F1205" s="9" t="s">
        <v>7</v>
      </c>
    </row>
    <row r="1206" s="1" customFormat="1" customHeight="1" spans="1:6">
      <c r="A1206" s="9" t="str">
        <f>"10452104104"</f>
        <v>10452104104</v>
      </c>
      <c r="B1206" s="10">
        <v>33.98</v>
      </c>
      <c r="C1206" s="9"/>
      <c r="D1206" s="9">
        <f t="shared" si="18"/>
        <v>33.98</v>
      </c>
      <c r="E1206" s="11"/>
      <c r="F1206" s="9"/>
    </row>
    <row r="1207" s="1" customFormat="1" customHeight="1" spans="1:6">
      <c r="A1207" s="9" t="str">
        <f>"10512104105"</f>
        <v>10512104105</v>
      </c>
      <c r="B1207" s="10">
        <v>41</v>
      </c>
      <c r="C1207" s="9"/>
      <c r="D1207" s="9">
        <f t="shared" si="18"/>
        <v>41</v>
      </c>
      <c r="E1207" s="11"/>
      <c r="F1207" s="9"/>
    </row>
    <row r="1208" s="1" customFormat="1" customHeight="1" spans="1:6">
      <c r="A1208" s="9" t="str">
        <f>"10172104106"</f>
        <v>10172104106</v>
      </c>
      <c r="B1208" s="10">
        <v>0</v>
      </c>
      <c r="C1208" s="9"/>
      <c r="D1208" s="9">
        <f t="shared" si="18"/>
        <v>0</v>
      </c>
      <c r="E1208" s="11"/>
      <c r="F1208" s="9" t="s">
        <v>7</v>
      </c>
    </row>
    <row r="1209" s="1" customFormat="1" customHeight="1" spans="1:6">
      <c r="A1209" s="9" t="str">
        <f>"10442104107"</f>
        <v>10442104107</v>
      </c>
      <c r="B1209" s="10">
        <v>41.98</v>
      </c>
      <c r="C1209" s="9"/>
      <c r="D1209" s="9">
        <f t="shared" si="18"/>
        <v>41.98</v>
      </c>
      <c r="E1209" s="11"/>
      <c r="F1209" s="9"/>
    </row>
    <row r="1210" s="1" customFormat="1" customHeight="1" spans="1:6">
      <c r="A1210" s="9" t="str">
        <f>"10302104108"</f>
        <v>10302104108</v>
      </c>
      <c r="B1210" s="10">
        <v>34.35</v>
      </c>
      <c r="C1210" s="9"/>
      <c r="D1210" s="9">
        <f t="shared" si="18"/>
        <v>34.35</v>
      </c>
      <c r="E1210" s="11"/>
      <c r="F1210" s="9"/>
    </row>
    <row r="1211" s="1" customFormat="1" customHeight="1" spans="1:6">
      <c r="A1211" s="9" t="str">
        <f>"10362104109"</f>
        <v>10362104109</v>
      </c>
      <c r="B1211" s="10">
        <v>0</v>
      </c>
      <c r="C1211" s="9"/>
      <c r="D1211" s="9">
        <f t="shared" si="18"/>
        <v>0</v>
      </c>
      <c r="E1211" s="11"/>
      <c r="F1211" s="9" t="s">
        <v>7</v>
      </c>
    </row>
    <row r="1212" s="1" customFormat="1" customHeight="1" spans="1:6">
      <c r="A1212" s="9" t="str">
        <f>"10502104110"</f>
        <v>10502104110</v>
      </c>
      <c r="B1212" s="10">
        <v>36.77</v>
      </c>
      <c r="C1212" s="9"/>
      <c r="D1212" s="9">
        <f t="shared" si="18"/>
        <v>36.77</v>
      </c>
      <c r="E1212" s="11"/>
      <c r="F1212" s="9"/>
    </row>
    <row r="1213" s="1" customFormat="1" customHeight="1" spans="1:6">
      <c r="A1213" s="9" t="str">
        <f>"10302104111"</f>
        <v>10302104111</v>
      </c>
      <c r="B1213" s="10">
        <v>0</v>
      </c>
      <c r="C1213" s="9"/>
      <c r="D1213" s="9">
        <f t="shared" si="18"/>
        <v>0</v>
      </c>
      <c r="E1213" s="11"/>
      <c r="F1213" s="9" t="s">
        <v>7</v>
      </c>
    </row>
    <row r="1214" s="1" customFormat="1" customHeight="1" spans="1:6">
      <c r="A1214" s="9" t="str">
        <f>"10332104112"</f>
        <v>10332104112</v>
      </c>
      <c r="B1214" s="10">
        <v>34.33</v>
      </c>
      <c r="C1214" s="9"/>
      <c r="D1214" s="9">
        <f t="shared" si="18"/>
        <v>34.33</v>
      </c>
      <c r="E1214" s="11"/>
      <c r="F1214" s="9"/>
    </row>
    <row r="1215" s="1" customFormat="1" customHeight="1" spans="1:6">
      <c r="A1215" s="9" t="str">
        <f>"10332104113"</f>
        <v>10332104113</v>
      </c>
      <c r="B1215" s="10">
        <v>0</v>
      </c>
      <c r="C1215" s="9"/>
      <c r="D1215" s="9">
        <f t="shared" si="18"/>
        <v>0</v>
      </c>
      <c r="E1215" s="11"/>
      <c r="F1215" s="9" t="s">
        <v>7</v>
      </c>
    </row>
    <row r="1216" s="1" customFormat="1" customHeight="1" spans="1:6">
      <c r="A1216" s="9" t="str">
        <f>"10502104114"</f>
        <v>10502104114</v>
      </c>
      <c r="B1216" s="10">
        <v>32.29</v>
      </c>
      <c r="C1216" s="9"/>
      <c r="D1216" s="9">
        <f t="shared" si="18"/>
        <v>32.29</v>
      </c>
      <c r="E1216" s="11"/>
      <c r="F1216" s="9"/>
    </row>
    <row r="1217" s="1" customFormat="1" customHeight="1" spans="1:6">
      <c r="A1217" s="9" t="str">
        <f>"10532104115"</f>
        <v>10532104115</v>
      </c>
      <c r="B1217" s="10">
        <v>36.17</v>
      </c>
      <c r="C1217" s="9"/>
      <c r="D1217" s="9">
        <f t="shared" si="18"/>
        <v>36.17</v>
      </c>
      <c r="E1217" s="11"/>
      <c r="F1217" s="9"/>
    </row>
    <row r="1218" s="1" customFormat="1" customHeight="1" spans="1:6">
      <c r="A1218" s="9" t="str">
        <f>"10332104116"</f>
        <v>10332104116</v>
      </c>
      <c r="B1218" s="10">
        <v>0</v>
      </c>
      <c r="C1218" s="9"/>
      <c r="D1218" s="9">
        <f t="shared" si="18"/>
        <v>0</v>
      </c>
      <c r="E1218" s="11"/>
      <c r="F1218" s="9" t="s">
        <v>7</v>
      </c>
    </row>
    <row r="1219" s="1" customFormat="1" customHeight="1" spans="1:6">
      <c r="A1219" s="9" t="str">
        <f>"10282104117"</f>
        <v>10282104117</v>
      </c>
      <c r="B1219" s="10">
        <v>0</v>
      </c>
      <c r="C1219" s="9"/>
      <c r="D1219" s="9">
        <f t="shared" ref="D1219:D1282" si="19">SUM(B1219:C1219)</f>
        <v>0</v>
      </c>
      <c r="E1219" s="11"/>
      <c r="F1219" s="9" t="s">
        <v>7</v>
      </c>
    </row>
    <row r="1220" s="1" customFormat="1" customHeight="1" spans="1:6">
      <c r="A1220" s="9" t="str">
        <f>"10102104118"</f>
        <v>10102104118</v>
      </c>
      <c r="B1220" s="10">
        <v>36.09</v>
      </c>
      <c r="C1220" s="9"/>
      <c r="D1220" s="9">
        <f t="shared" si="19"/>
        <v>36.09</v>
      </c>
      <c r="E1220" s="11"/>
      <c r="F1220" s="9"/>
    </row>
    <row r="1221" s="1" customFormat="1" customHeight="1" spans="1:6">
      <c r="A1221" s="9" t="str">
        <f>"10512104119"</f>
        <v>10512104119</v>
      </c>
      <c r="B1221" s="10">
        <v>45.11</v>
      </c>
      <c r="C1221" s="9"/>
      <c r="D1221" s="9">
        <f t="shared" si="19"/>
        <v>45.11</v>
      </c>
      <c r="E1221" s="11"/>
      <c r="F1221" s="9"/>
    </row>
    <row r="1222" s="1" customFormat="1" customHeight="1" spans="1:6">
      <c r="A1222" s="9" t="str">
        <f>"20272104120"</f>
        <v>20272104120</v>
      </c>
      <c r="B1222" s="10">
        <v>39.01</v>
      </c>
      <c r="C1222" s="9"/>
      <c r="D1222" s="9">
        <f t="shared" si="19"/>
        <v>39.01</v>
      </c>
      <c r="E1222" s="11"/>
      <c r="F1222" s="9"/>
    </row>
    <row r="1223" s="1" customFormat="1" customHeight="1" spans="1:6">
      <c r="A1223" s="9" t="str">
        <f>"10362104121"</f>
        <v>10362104121</v>
      </c>
      <c r="B1223" s="10">
        <v>0</v>
      </c>
      <c r="C1223" s="9"/>
      <c r="D1223" s="9">
        <f t="shared" si="19"/>
        <v>0</v>
      </c>
      <c r="E1223" s="11"/>
      <c r="F1223" s="9" t="s">
        <v>7</v>
      </c>
    </row>
    <row r="1224" s="1" customFormat="1" customHeight="1" spans="1:6">
      <c r="A1224" s="9" t="str">
        <f>"10362104122"</f>
        <v>10362104122</v>
      </c>
      <c r="B1224" s="10">
        <v>32.18</v>
      </c>
      <c r="C1224" s="9"/>
      <c r="D1224" s="9">
        <f t="shared" si="19"/>
        <v>32.18</v>
      </c>
      <c r="E1224" s="11"/>
      <c r="F1224" s="9"/>
    </row>
    <row r="1225" s="1" customFormat="1" customHeight="1" spans="1:6">
      <c r="A1225" s="9" t="str">
        <f>"10062104123"</f>
        <v>10062104123</v>
      </c>
      <c r="B1225" s="10">
        <v>0</v>
      </c>
      <c r="C1225" s="9"/>
      <c r="D1225" s="9">
        <f t="shared" si="19"/>
        <v>0</v>
      </c>
      <c r="E1225" s="11"/>
      <c r="F1225" s="9" t="s">
        <v>7</v>
      </c>
    </row>
    <row r="1226" s="1" customFormat="1" customHeight="1" spans="1:6">
      <c r="A1226" s="9" t="str">
        <f>"10102104124"</f>
        <v>10102104124</v>
      </c>
      <c r="B1226" s="10">
        <v>42.51</v>
      </c>
      <c r="C1226" s="9"/>
      <c r="D1226" s="9">
        <f t="shared" si="19"/>
        <v>42.51</v>
      </c>
      <c r="E1226" s="11"/>
      <c r="F1226" s="9"/>
    </row>
    <row r="1227" s="1" customFormat="1" customHeight="1" spans="1:6">
      <c r="A1227" s="9" t="str">
        <f>"10332104125"</f>
        <v>10332104125</v>
      </c>
      <c r="B1227" s="10">
        <v>0</v>
      </c>
      <c r="C1227" s="9"/>
      <c r="D1227" s="9">
        <f t="shared" si="19"/>
        <v>0</v>
      </c>
      <c r="E1227" s="11"/>
      <c r="F1227" s="9" t="s">
        <v>7</v>
      </c>
    </row>
    <row r="1228" s="1" customFormat="1" customHeight="1" spans="1:6">
      <c r="A1228" s="9" t="str">
        <f>"10502104126"</f>
        <v>10502104126</v>
      </c>
      <c r="B1228" s="10">
        <v>32.7</v>
      </c>
      <c r="C1228" s="9"/>
      <c r="D1228" s="9">
        <f t="shared" si="19"/>
        <v>32.7</v>
      </c>
      <c r="E1228" s="11"/>
      <c r="F1228" s="9"/>
    </row>
    <row r="1229" s="1" customFormat="1" customHeight="1" spans="1:6">
      <c r="A1229" s="9" t="str">
        <f>"10102104127"</f>
        <v>10102104127</v>
      </c>
      <c r="B1229" s="10">
        <v>0</v>
      </c>
      <c r="C1229" s="9"/>
      <c r="D1229" s="9">
        <f t="shared" si="19"/>
        <v>0</v>
      </c>
      <c r="E1229" s="11"/>
      <c r="F1229" s="9" t="s">
        <v>7</v>
      </c>
    </row>
    <row r="1230" s="1" customFormat="1" customHeight="1" spans="1:6">
      <c r="A1230" s="9" t="str">
        <f>"10112104128"</f>
        <v>10112104128</v>
      </c>
      <c r="B1230" s="10">
        <v>0</v>
      </c>
      <c r="C1230" s="9"/>
      <c r="D1230" s="9">
        <f t="shared" si="19"/>
        <v>0</v>
      </c>
      <c r="E1230" s="11"/>
      <c r="F1230" s="9" t="s">
        <v>7</v>
      </c>
    </row>
    <row r="1231" s="1" customFormat="1" customHeight="1" spans="1:6">
      <c r="A1231" s="9" t="str">
        <f>"10482104129"</f>
        <v>10482104129</v>
      </c>
      <c r="B1231" s="10">
        <v>0</v>
      </c>
      <c r="C1231" s="9"/>
      <c r="D1231" s="9">
        <f t="shared" si="19"/>
        <v>0</v>
      </c>
      <c r="E1231" s="11"/>
      <c r="F1231" s="9" t="s">
        <v>7</v>
      </c>
    </row>
    <row r="1232" s="1" customFormat="1" customHeight="1" spans="1:6">
      <c r="A1232" s="9" t="str">
        <f>"10212104130"</f>
        <v>10212104130</v>
      </c>
      <c r="B1232" s="10">
        <v>45.88</v>
      </c>
      <c r="C1232" s="9"/>
      <c r="D1232" s="9">
        <f t="shared" si="19"/>
        <v>45.88</v>
      </c>
      <c r="E1232" s="11"/>
      <c r="F1232" s="9"/>
    </row>
    <row r="1233" s="1" customFormat="1" customHeight="1" spans="1:6">
      <c r="A1233" s="9" t="str">
        <f>"10112104201"</f>
        <v>10112104201</v>
      </c>
      <c r="B1233" s="10">
        <v>39.79</v>
      </c>
      <c r="C1233" s="9"/>
      <c r="D1233" s="9">
        <f t="shared" si="19"/>
        <v>39.79</v>
      </c>
      <c r="E1233" s="11"/>
      <c r="F1233" s="9"/>
    </row>
    <row r="1234" s="1" customFormat="1" customHeight="1" spans="1:6">
      <c r="A1234" s="9" t="str">
        <f>"10212104202"</f>
        <v>10212104202</v>
      </c>
      <c r="B1234" s="10">
        <v>72.61</v>
      </c>
      <c r="C1234" s="9"/>
      <c r="D1234" s="9">
        <f t="shared" si="19"/>
        <v>72.61</v>
      </c>
      <c r="E1234" s="11"/>
      <c r="F1234" s="9"/>
    </row>
    <row r="1235" s="1" customFormat="1" customHeight="1" spans="1:6">
      <c r="A1235" s="9" t="str">
        <f>"10132104203"</f>
        <v>10132104203</v>
      </c>
      <c r="B1235" s="10">
        <v>57.92</v>
      </c>
      <c r="C1235" s="9"/>
      <c r="D1235" s="9">
        <f t="shared" si="19"/>
        <v>57.92</v>
      </c>
      <c r="E1235" s="11"/>
      <c r="F1235" s="9"/>
    </row>
    <row r="1236" s="1" customFormat="1" customHeight="1" spans="1:6">
      <c r="A1236" s="9" t="str">
        <f>"10522104204"</f>
        <v>10522104204</v>
      </c>
      <c r="B1236" s="10">
        <v>38.83</v>
      </c>
      <c r="C1236" s="9"/>
      <c r="D1236" s="9">
        <f t="shared" si="19"/>
        <v>38.83</v>
      </c>
      <c r="E1236" s="11"/>
      <c r="F1236" s="9"/>
    </row>
    <row r="1237" s="1" customFormat="1" customHeight="1" spans="1:6">
      <c r="A1237" s="9" t="str">
        <f>"10532104205"</f>
        <v>10532104205</v>
      </c>
      <c r="B1237" s="10">
        <v>38.21</v>
      </c>
      <c r="C1237" s="9"/>
      <c r="D1237" s="9">
        <f t="shared" si="19"/>
        <v>38.21</v>
      </c>
      <c r="E1237" s="11"/>
      <c r="F1237" s="9"/>
    </row>
    <row r="1238" s="1" customFormat="1" customHeight="1" spans="1:6">
      <c r="A1238" s="9" t="str">
        <f>"10372104206"</f>
        <v>10372104206</v>
      </c>
      <c r="B1238" s="10">
        <v>36.05</v>
      </c>
      <c r="C1238" s="9"/>
      <c r="D1238" s="9">
        <f t="shared" si="19"/>
        <v>36.05</v>
      </c>
      <c r="E1238" s="11"/>
      <c r="F1238" s="9"/>
    </row>
    <row r="1239" s="1" customFormat="1" customHeight="1" spans="1:6">
      <c r="A1239" s="9" t="str">
        <f>"10212104207"</f>
        <v>10212104207</v>
      </c>
      <c r="B1239" s="10">
        <v>30.58</v>
      </c>
      <c r="C1239" s="9"/>
      <c r="D1239" s="9">
        <f t="shared" si="19"/>
        <v>30.58</v>
      </c>
      <c r="E1239" s="11"/>
      <c r="F1239" s="9"/>
    </row>
    <row r="1240" s="1" customFormat="1" customHeight="1" spans="1:6">
      <c r="A1240" s="9" t="str">
        <f>"10082104208"</f>
        <v>10082104208</v>
      </c>
      <c r="B1240" s="10">
        <v>46.83</v>
      </c>
      <c r="C1240" s="9"/>
      <c r="D1240" s="9">
        <f t="shared" si="19"/>
        <v>46.83</v>
      </c>
      <c r="E1240" s="11"/>
      <c r="F1240" s="9"/>
    </row>
    <row r="1241" s="1" customFormat="1" customHeight="1" spans="1:6">
      <c r="A1241" s="9" t="str">
        <f>"10362104209"</f>
        <v>10362104209</v>
      </c>
      <c r="B1241" s="10">
        <v>29.72</v>
      </c>
      <c r="C1241" s="9"/>
      <c r="D1241" s="9">
        <f t="shared" si="19"/>
        <v>29.72</v>
      </c>
      <c r="E1241" s="11"/>
      <c r="F1241" s="9"/>
    </row>
    <row r="1242" s="1" customFormat="1" customHeight="1" spans="1:6">
      <c r="A1242" s="9" t="str">
        <f>"10072104210"</f>
        <v>10072104210</v>
      </c>
      <c r="B1242" s="10">
        <v>42.53</v>
      </c>
      <c r="C1242" s="9"/>
      <c r="D1242" s="9">
        <f t="shared" si="19"/>
        <v>42.53</v>
      </c>
      <c r="E1242" s="11"/>
      <c r="F1242" s="9"/>
    </row>
    <row r="1243" s="1" customFormat="1" customHeight="1" spans="1:6">
      <c r="A1243" s="9" t="str">
        <f>"10172104211"</f>
        <v>10172104211</v>
      </c>
      <c r="B1243" s="10">
        <v>41.97</v>
      </c>
      <c r="C1243" s="9"/>
      <c r="D1243" s="9">
        <f t="shared" si="19"/>
        <v>41.97</v>
      </c>
      <c r="E1243" s="11"/>
      <c r="F1243" s="9"/>
    </row>
    <row r="1244" s="1" customFormat="1" customHeight="1" spans="1:6">
      <c r="A1244" s="9" t="str">
        <f>"10242104212"</f>
        <v>10242104212</v>
      </c>
      <c r="B1244" s="10">
        <v>43.88</v>
      </c>
      <c r="C1244" s="9"/>
      <c r="D1244" s="9">
        <f t="shared" si="19"/>
        <v>43.88</v>
      </c>
      <c r="E1244" s="11"/>
      <c r="F1244" s="9"/>
    </row>
    <row r="1245" s="1" customFormat="1" customHeight="1" spans="1:6">
      <c r="A1245" s="9" t="str">
        <f>"10362104213"</f>
        <v>10362104213</v>
      </c>
      <c r="B1245" s="10">
        <v>40.84</v>
      </c>
      <c r="C1245" s="9"/>
      <c r="D1245" s="9">
        <f t="shared" si="19"/>
        <v>40.84</v>
      </c>
      <c r="E1245" s="11"/>
      <c r="F1245" s="9"/>
    </row>
    <row r="1246" s="1" customFormat="1" customHeight="1" spans="1:6">
      <c r="A1246" s="9" t="str">
        <f>"10212104214"</f>
        <v>10212104214</v>
      </c>
      <c r="B1246" s="10">
        <v>38.99</v>
      </c>
      <c r="C1246" s="9"/>
      <c r="D1246" s="9">
        <f t="shared" si="19"/>
        <v>38.99</v>
      </c>
      <c r="E1246" s="11"/>
      <c r="F1246" s="9"/>
    </row>
    <row r="1247" s="1" customFormat="1" customHeight="1" spans="1:6">
      <c r="A1247" s="9" t="str">
        <f>"10182104215"</f>
        <v>10182104215</v>
      </c>
      <c r="B1247" s="10">
        <v>36.96</v>
      </c>
      <c r="C1247" s="9"/>
      <c r="D1247" s="9">
        <f t="shared" si="19"/>
        <v>36.96</v>
      </c>
      <c r="E1247" s="11"/>
      <c r="F1247" s="9"/>
    </row>
    <row r="1248" s="1" customFormat="1" customHeight="1" spans="1:6">
      <c r="A1248" s="9" t="str">
        <f>"10062104216"</f>
        <v>10062104216</v>
      </c>
      <c r="B1248" s="10">
        <v>53.82</v>
      </c>
      <c r="C1248" s="9"/>
      <c r="D1248" s="9">
        <f t="shared" si="19"/>
        <v>53.82</v>
      </c>
      <c r="E1248" s="11"/>
      <c r="F1248" s="9"/>
    </row>
    <row r="1249" s="1" customFormat="1" customHeight="1" spans="1:6">
      <c r="A1249" s="9" t="str">
        <f>"10172104217"</f>
        <v>10172104217</v>
      </c>
      <c r="B1249" s="10">
        <v>48.3</v>
      </c>
      <c r="C1249" s="9"/>
      <c r="D1249" s="9">
        <f t="shared" si="19"/>
        <v>48.3</v>
      </c>
      <c r="E1249" s="11"/>
      <c r="F1249" s="9"/>
    </row>
    <row r="1250" s="1" customFormat="1" customHeight="1" spans="1:6">
      <c r="A1250" s="9" t="str">
        <f>"10172104218"</f>
        <v>10172104218</v>
      </c>
      <c r="B1250" s="10">
        <v>0</v>
      </c>
      <c r="C1250" s="9"/>
      <c r="D1250" s="9">
        <f t="shared" si="19"/>
        <v>0</v>
      </c>
      <c r="E1250" s="11"/>
      <c r="F1250" s="9" t="s">
        <v>7</v>
      </c>
    </row>
    <row r="1251" s="1" customFormat="1" customHeight="1" spans="1:6">
      <c r="A1251" s="9" t="str">
        <f>"10362104219"</f>
        <v>10362104219</v>
      </c>
      <c r="B1251" s="10">
        <v>39.56</v>
      </c>
      <c r="C1251" s="9"/>
      <c r="D1251" s="9">
        <f t="shared" si="19"/>
        <v>39.56</v>
      </c>
      <c r="E1251" s="11"/>
      <c r="F1251" s="9"/>
    </row>
    <row r="1252" s="1" customFormat="1" customHeight="1" spans="1:6">
      <c r="A1252" s="9" t="str">
        <f>"10372104220"</f>
        <v>10372104220</v>
      </c>
      <c r="B1252" s="10">
        <v>0</v>
      </c>
      <c r="C1252" s="9"/>
      <c r="D1252" s="9">
        <f t="shared" si="19"/>
        <v>0</v>
      </c>
      <c r="E1252" s="11"/>
      <c r="F1252" s="9" t="s">
        <v>7</v>
      </c>
    </row>
    <row r="1253" s="1" customFormat="1" customHeight="1" spans="1:6">
      <c r="A1253" s="9" t="str">
        <f>"10062104221"</f>
        <v>10062104221</v>
      </c>
      <c r="B1253" s="10">
        <v>0</v>
      </c>
      <c r="C1253" s="9"/>
      <c r="D1253" s="9">
        <f t="shared" si="19"/>
        <v>0</v>
      </c>
      <c r="E1253" s="11"/>
      <c r="F1253" s="9" t="s">
        <v>7</v>
      </c>
    </row>
    <row r="1254" s="1" customFormat="1" customHeight="1" spans="1:6">
      <c r="A1254" s="9" t="str">
        <f>"10282104222"</f>
        <v>10282104222</v>
      </c>
      <c r="B1254" s="10">
        <v>42.26</v>
      </c>
      <c r="C1254" s="9"/>
      <c r="D1254" s="9">
        <f t="shared" si="19"/>
        <v>42.26</v>
      </c>
      <c r="E1254" s="11"/>
      <c r="F1254" s="9"/>
    </row>
    <row r="1255" s="1" customFormat="1" customHeight="1" spans="1:6">
      <c r="A1255" s="9" t="str">
        <f>"10082104223"</f>
        <v>10082104223</v>
      </c>
      <c r="B1255" s="10">
        <v>52.07</v>
      </c>
      <c r="C1255" s="9"/>
      <c r="D1255" s="9">
        <f t="shared" si="19"/>
        <v>52.07</v>
      </c>
      <c r="E1255" s="11"/>
      <c r="F1255" s="9"/>
    </row>
    <row r="1256" s="1" customFormat="1" customHeight="1" spans="1:6">
      <c r="A1256" s="9" t="str">
        <f>"10362104224"</f>
        <v>10362104224</v>
      </c>
      <c r="B1256" s="10">
        <v>35.62</v>
      </c>
      <c r="C1256" s="9"/>
      <c r="D1256" s="9">
        <f t="shared" si="19"/>
        <v>35.62</v>
      </c>
      <c r="E1256" s="11"/>
      <c r="F1256" s="9"/>
    </row>
    <row r="1257" s="1" customFormat="1" customHeight="1" spans="1:6">
      <c r="A1257" s="9" t="str">
        <f>"10362104225"</f>
        <v>10362104225</v>
      </c>
      <c r="B1257" s="10">
        <v>0</v>
      </c>
      <c r="C1257" s="9"/>
      <c r="D1257" s="9">
        <f t="shared" si="19"/>
        <v>0</v>
      </c>
      <c r="E1257" s="11"/>
      <c r="F1257" s="9" t="s">
        <v>7</v>
      </c>
    </row>
    <row r="1258" s="1" customFormat="1" customHeight="1" spans="1:6">
      <c r="A1258" s="9" t="str">
        <f>"10422104226"</f>
        <v>10422104226</v>
      </c>
      <c r="B1258" s="10">
        <v>37.37</v>
      </c>
      <c r="C1258" s="9"/>
      <c r="D1258" s="9">
        <f t="shared" si="19"/>
        <v>37.37</v>
      </c>
      <c r="E1258" s="11"/>
      <c r="F1258" s="9"/>
    </row>
    <row r="1259" s="1" customFormat="1" customHeight="1" spans="1:6">
      <c r="A1259" s="9" t="str">
        <f>"10362104227"</f>
        <v>10362104227</v>
      </c>
      <c r="B1259" s="10">
        <v>35.57</v>
      </c>
      <c r="C1259" s="9"/>
      <c r="D1259" s="9">
        <f t="shared" si="19"/>
        <v>35.57</v>
      </c>
      <c r="E1259" s="11"/>
      <c r="F1259" s="9"/>
    </row>
    <row r="1260" s="1" customFormat="1" customHeight="1" spans="1:6">
      <c r="A1260" s="9" t="str">
        <f>"10202104228"</f>
        <v>10202104228</v>
      </c>
      <c r="B1260" s="10">
        <v>46.19</v>
      </c>
      <c r="C1260" s="9"/>
      <c r="D1260" s="9">
        <f t="shared" si="19"/>
        <v>46.19</v>
      </c>
      <c r="E1260" s="11"/>
      <c r="F1260" s="9"/>
    </row>
    <row r="1261" s="1" customFormat="1" customHeight="1" spans="1:6">
      <c r="A1261" s="9" t="str">
        <f>"10112104229"</f>
        <v>10112104229</v>
      </c>
      <c r="B1261" s="10">
        <v>0</v>
      </c>
      <c r="C1261" s="9"/>
      <c r="D1261" s="9">
        <f t="shared" si="19"/>
        <v>0</v>
      </c>
      <c r="E1261" s="11"/>
      <c r="F1261" s="9" t="s">
        <v>7</v>
      </c>
    </row>
    <row r="1262" s="1" customFormat="1" customHeight="1" spans="1:6">
      <c r="A1262" s="9" t="str">
        <f>"10302104230"</f>
        <v>10302104230</v>
      </c>
      <c r="B1262" s="10">
        <v>50.92</v>
      </c>
      <c r="C1262" s="9"/>
      <c r="D1262" s="9">
        <f t="shared" si="19"/>
        <v>50.92</v>
      </c>
      <c r="E1262" s="11"/>
      <c r="F1262" s="9"/>
    </row>
    <row r="1263" s="1" customFormat="1" customHeight="1" spans="1:6">
      <c r="A1263" s="9" t="str">
        <f>"10302104301"</f>
        <v>10302104301</v>
      </c>
      <c r="B1263" s="10">
        <v>31.58</v>
      </c>
      <c r="C1263" s="9"/>
      <c r="D1263" s="9">
        <f t="shared" si="19"/>
        <v>31.58</v>
      </c>
      <c r="E1263" s="11"/>
      <c r="F1263" s="9"/>
    </row>
    <row r="1264" s="1" customFormat="1" customHeight="1" spans="1:6">
      <c r="A1264" s="9" t="str">
        <f>"10442104302"</f>
        <v>10442104302</v>
      </c>
      <c r="B1264" s="10">
        <v>34.74</v>
      </c>
      <c r="C1264" s="9"/>
      <c r="D1264" s="9">
        <f t="shared" si="19"/>
        <v>34.74</v>
      </c>
      <c r="E1264" s="11"/>
      <c r="F1264" s="9"/>
    </row>
    <row r="1265" s="1" customFormat="1" customHeight="1" spans="1:6">
      <c r="A1265" s="9" t="str">
        <f>"10082104303"</f>
        <v>10082104303</v>
      </c>
      <c r="B1265" s="10">
        <v>0</v>
      </c>
      <c r="C1265" s="9"/>
      <c r="D1265" s="9">
        <f t="shared" si="19"/>
        <v>0</v>
      </c>
      <c r="E1265" s="11"/>
      <c r="F1265" s="9" t="s">
        <v>7</v>
      </c>
    </row>
    <row r="1266" s="1" customFormat="1" customHeight="1" spans="1:6">
      <c r="A1266" s="9" t="str">
        <f>"10282104304"</f>
        <v>10282104304</v>
      </c>
      <c r="B1266" s="10">
        <v>44</v>
      </c>
      <c r="C1266" s="9"/>
      <c r="D1266" s="9">
        <f t="shared" si="19"/>
        <v>44</v>
      </c>
      <c r="E1266" s="11"/>
      <c r="F1266" s="9"/>
    </row>
    <row r="1267" s="1" customFormat="1" customHeight="1" spans="1:6">
      <c r="A1267" s="9" t="str">
        <f>"10422104305"</f>
        <v>10422104305</v>
      </c>
      <c r="B1267" s="10">
        <v>46.22</v>
      </c>
      <c r="C1267" s="9"/>
      <c r="D1267" s="9">
        <f t="shared" si="19"/>
        <v>46.22</v>
      </c>
      <c r="E1267" s="11"/>
      <c r="F1267" s="9"/>
    </row>
    <row r="1268" s="1" customFormat="1" customHeight="1" spans="1:6">
      <c r="A1268" s="9" t="str">
        <f>"10202104306"</f>
        <v>10202104306</v>
      </c>
      <c r="B1268" s="10">
        <v>0</v>
      </c>
      <c r="C1268" s="9"/>
      <c r="D1268" s="9">
        <f t="shared" si="19"/>
        <v>0</v>
      </c>
      <c r="E1268" s="11"/>
      <c r="F1268" s="9" t="s">
        <v>7</v>
      </c>
    </row>
    <row r="1269" s="1" customFormat="1" customHeight="1" spans="1:6">
      <c r="A1269" s="9" t="str">
        <f>"10212104307"</f>
        <v>10212104307</v>
      </c>
      <c r="B1269" s="10">
        <v>41.21</v>
      </c>
      <c r="C1269" s="9"/>
      <c r="D1269" s="9">
        <f t="shared" si="19"/>
        <v>41.21</v>
      </c>
      <c r="E1269" s="11"/>
      <c r="F1269" s="9"/>
    </row>
    <row r="1270" s="1" customFormat="1" customHeight="1" spans="1:6">
      <c r="A1270" s="9" t="str">
        <f>"10362104308"</f>
        <v>10362104308</v>
      </c>
      <c r="B1270" s="10">
        <v>0</v>
      </c>
      <c r="C1270" s="9"/>
      <c r="D1270" s="9">
        <f t="shared" si="19"/>
        <v>0</v>
      </c>
      <c r="E1270" s="11"/>
      <c r="F1270" s="9" t="s">
        <v>7</v>
      </c>
    </row>
    <row r="1271" s="1" customFormat="1" customHeight="1" spans="1:6">
      <c r="A1271" s="9" t="str">
        <f>"10132104309"</f>
        <v>10132104309</v>
      </c>
      <c r="B1271" s="10">
        <v>49.64</v>
      </c>
      <c r="C1271" s="9"/>
      <c r="D1271" s="9">
        <f t="shared" si="19"/>
        <v>49.64</v>
      </c>
      <c r="E1271" s="11"/>
      <c r="F1271" s="9"/>
    </row>
    <row r="1272" s="1" customFormat="1" customHeight="1" spans="1:6">
      <c r="A1272" s="9" t="str">
        <f>"10302104310"</f>
        <v>10302104310</v>
      </c>
      <c r="B1272" s="10">
        <v>0</v>
      </c>
      <c r="C1272" s="9"/>
      <c r="D1272" s="9">
        <f t="shared" si="19"/>
        <v>0</v>
      </c>
      <c r="E1272" s="11"/>
      <c r="F1272" s="9" t="s">
        <v>7</v>
      </c>
    </row>
    <row r="1273" s="1" customFormat="1" customHeight="1" spans="1:6">
      <c r="A1273" s="9" t="str">
        <f>"10432104311"</f>
        <v>10432104311</v>
      </c>
      <c r="B1273" s="10">
        <v>0</v>
      </c>
      <c r="C1273" s="9"/>
      <c r="D1273" s="9">
        <f t="shared" si="19"/>
        <v>0</v>
      </c>
      <c r="E1273" s="11"/>
      <c r="F1273" s="9" t="s">
        <v>7</v>
      </c>
    </row>
    <row r="1274" s="1" customFormat="1" customHeight="1" spans="1:6">
      <c r="A1274" s="9" t="str">
        <f>"10362104312"</f>
        <v>10362104312</v>
      </c>
      <c r="B1274" s="10">
        <v>37.74</v>
      </c>
      <c r="C1274" s="9"/>
      <c r="D1274" s="9">
        <f t="shared" si="19"/>
        <v>37.74</v>
      </c>
      <c r="E1274" s="11"/>
      <c r="F1274" s="9"/>
    </row>
    <row r="1275" s="1" customFormat="1" customHeight="1" spans="1:6">
      <c r="A1275" s="9" t="str">
        <f>"10172104313"</f>
        <v>10172104313</v>
      </c>
      <c r="B1275" s="10">
        <v>0</v>
      </c>
      <c r="C1275" s="9"/>
      <c r="D1275" s="9">
        <f t="shared" si="19"/>
        <v>0</v>
      </c>
      <c r="E1275" s="11"/>
      <c r="F1275" s="9" t="s">
        <v>7</v>
      </c>
    </row>
    <row r="1276" s="1" customFormat="1" customHeight="1" spans="1:6">
      <c r="A1276" s="9" t="str">
        <f>"10362104314"</f>
        <v>10362104314</v>
      </c>
      <c r="B1276" s="10">
        <v>0</v>
      </c>
      <c r="C1276" s="9"/>
      <c r="D1276" s="9">
        <f t="shared" si="19"/>
        <v>0</v>
      </c>
      <c r="E1276" s="11"/>
      <c r="F1276" s="9" t="s">
        <v>7</v>
      </c>
    </row>
    <row r="1277" s="1" customFormat="1" customHeight="1" spans="1:6">
      <c r="A1277" s="9" t="str">
        <f>"10362104315"</f>
        <v>10362104315</v>
      </c>
      <c r="B1277" s="10">
        <v>40.42</v>
      </c>
      <c r="C1277" s="9"/>
      <c r="D1277" s="9">
        <f t="shared" si="19"/>
        <v>40.42</v>
      </c>
      <c r="E1277" s="11"/>
      <c r="F1277" s="9"/>
    </row>
    <row r="1278" s="1" customFormat="1" customHeight="1" spans="1:6">
      <c r="A1278" s="9" t="str">
        <f>"10532104316"</f>
        <v>10532104316</v>
      </c>
      <c r="B1278" s="10">
        <v>45.62</v>
      </c>
      <c r="C1278" s="9"/>
      <c r="D1278" s="9">
        <f t="shared" si="19"/>
        <v>45.62</v>
      </c>
      <c r="E1278" s="11"/>
      <c r="F1278" s="9"/>
    </row>
    <row r="1279" s="1" customFormat="1" customHeight="1" spans="1:6">
      <c r="A1279" s="9" t="str">
        <f>"10362104317"</f>
        <v>10362104317</v>
      </c>
      <c r="B1279" s="10">
        <v>44.11</v>
      </c>
      <c r="C1279" s="9"/>
      <c r="D1279" s="9">
        <f t="shared" si="19"/>
        <v>44.11</v>
      </c>
      <c r="E1279" s="11"/>
      <c r="F1279" s="9"/>
    </row>
    <row r="1280" s="1" customFormat="1" customHeight="1" spans="1:6">
      <c r="A1280" s="9" t="str">
        <f>"10362104318"</f>
        <v>10362104318</v>
      </c>
      <c r="B1280" s="10">
        <v>0</v>
      </c>
      <c r="C1280" s="9"/>
      <c r="D1280" s="9">
        <f t="shared" si="19"/>
        <v>0</v>
      </c>
      <c r="E1280" s="11"/>
      <c r="F1280" s="9" t="s">
        <v>7</v>
      </c>
    </row>
    <row r="1281" s="1" customFormat="1" customHeight="1" spans="1:6">
      <c r="A1281" s="9" t="str">
        <f>"10382104319"</f>
        <v>10382104319</v>
      </c>
      <c r="B1281" s="10">
        <v>36.32</v>
      </c>
      <c r="C1281" s="9"/>
      <c r="D1281" s="9">
        <f t="shared" si="19"/>
        <v>36.32</v>
      </c>
      <c r="E1281" s="11"/>
      <c r="F1281" s="9"/>
    </row>
    <row r="1282" s="1" customFormat="1" customHeight="1" spans="1:6">
      <c r="A1282" s="9" t="str">
        <f>"10242104320"</f>
        <v>10242104320</v>
      </c>
      <c r="B1282" s="10">
        <v>34.22</v>
      </c>
      <c r="C1282" s="9"/>
      <c r="D1282" s="9">
        <f t="shared" si="19"/>
        <v>34.22</v>
      </c>
      <c r="E1282" s="11"/>
      <c r="F1282" s="9"/>
    </row>
    <row r="1283" s="1" customFormat="1" customHeight="1" spans="1:6">
      <c r="A1283" s="9" t="str">
        <f>"10112104321"</f>
        <v>10112104321</v>
      </c>
      <c r="B1283" s="10">
        <v>41.13</v>
      </c>
      <c r="C1283" s="9"/>
      <c r="D1283" s="9">
        <f t="shared" ref="D1283:D1346" si="20">SUM(B1283:C1283)</f>
        <v>41.13</v>
      </c>
      <c r="E1283" s="11"/>
      <c r="F1283" s="9"/>
    </row>
    <row r="1284" s="1" customFormat="1" customHeight="1" spans="1:6">
      <c r="A1284" s="9" t="str">
        <f>"10182104322"</f>
        <v>10182104322</v>
      </c>
      <c r="B1284" s="10">
        <v>42.26</v>
      </c>
      <c r="C1284" s="9"/>
      <c r="D1284" s="9">
        <f t="shared" si="20"/>
        <v>42.26</v>
      </c>
      <c r="E1284" s="11"/>
      <c r="F1284" s="9"/>
    </row>
    <row r="1285" s="1" customFormat="1" customHeight="1" spans="1:6">
      <c r="A1285" s="9" t="str">
        <f>"10362104323"</f>
        <v>10362104323</v>
      </c>
      <c r="B1285" s="10">
        <v>0</v>
      </c>
      <c r="C1285" s="9"/>
      <c r="D1285" s="9">
        <f t="shared" si="20"/>
        <v>0</v>
      </c>
      <c r="E1285" s="11"/>
      <c r="F1285" s="9" t="s">
        <v>7</v>
      </c>
    </row>
    <row r="1286" s="1" customFormat="1" customHeight="1" spans="1:6">
      <c r="A1286" s="9" t="str">
        <f>"10132104324"</f>
        <v>10132104324</v>
      </c>
      <c r="B1286" s="10">
        <v>36.87</v>
      </c>
      <c r="C1286" s="9"/>
      <c r="D1286" s="9">
        <f t="shared" si="20"/>
        <v>36.87</v>
      </c>
      <c r="E1286" s="11"/>
      <c r="F1286" s="9"/>
    </row>
    <row r="1287" s="1" customFormat="1" customHeight="1" spans="1:6">
      <c r="A1287" s="9" t="str">
        <f>"10362104325"</f>
        <v>10362104325</v>
      </c>
      <c r="B1287" s="10">
        <v>0</v>
      </c>
      <c r="C1287" s="9"/>
      <c r="D1287" s="9">
        <f t="shared" si="20"/>
        <v>0</v>
      </c>
      <c r="E1287" s="11"/>
      <c r="F1287" s="9" t="s">
        <v>7</v>
      </c>
    </row>
    <row r="1288" s="1" customFormat="1" customHeight="1" spans="1:6">
      <c r="A1288" s="9" t="str">
        <f>"10082104326"</f>
        <v>10082104326</v>
      </c>
      <c r="B1288" s="10">
        <v>46.09</v>
      </c>
      <c r="C1288" s="9"/>
      <c r="D1288" s="9">
        <f t="shared" si="20"/>
        <v>46.09</v>
      </c>
      <c r="E1288" s="11"/>
      <c r="F1288" s="9"/>
    </row>
    <row r="1289" s="1" customFormat="1" customHeight="1" spans="1:6">
      <c r="A1289" s="9" t="str">
        <f>"10362104327"</f>
        <v>10362104327</v>
      </c>
      <c r="B1289" s="10">
        <v>44.96</v>
      </c>
      <c r="C1289" s="9"/>
      <c r="D1289" s="9">
        <f t="shared" si="20"/>
        <v>44.96</v>
      </c>
      <c r="E1289" s="11"/>
      <c r="F1289" s="9"/>
    </row>
    <row r="1290" s="1" customFormat="1" customHeight="1" spans="1:6">
      <c r="A1290" s="9" t="str">
        <f>"10102104328"</f>
        <v>10102104328</v>
      </c>
      <c r="B1290" s="10">
        <v>0</v>
      </c>
      <c r="C1290" s="9"/>
      <c r="D1290" s="9">
        <f t="shared" si="20"/>
        <v>0</v>
      </c>
      <c r="E1290" s="11"/>
      <c r="F1290" s="9" t="s">
        <v>7</v>
      </c>
    </row>
    <row r="1291" s="1" customFormat="1" customHeight="1" spans="1:6">
      <c r="A1291" s="9" t="str">
        <f>"10172104329"</f>
        <v>10172104329</v>
      </c>
      <c r="B1291" s="10">
        <v>0</v>
      </c>
      <c r="C1291" s="9"/>
      <c r="D1291" s="9">
        <f t="shared" si="20"/>
        <v>0</v>
      </c>
      <c r="E1291" s="11"/>
      <c r="F1291" s="9" t="s">
        <v>7</v>
      </c>
    </row>
    <row r="1292" s="1" customFormat="1" customHeight="1" spans="1:6">
      <c r="A1292" s="9" t="str">
        <f>"10362104330"</f>
        <v>10362104330</v>
      </c>
      <c r="B1292" s="10">
        <v>38.99</v>
      </c>
      <c r="C1292" s="9"/>
      <c r="D1292" s="9">
        <f t="shared" si="20"/>
        <v>38.99</v>
      </c>
      <c r="E1292" s="11"/>
      <c r="F1292" s="9"/>
    </row>
    <row r="1293" s="1" customFormat="1" customHeight="1" spans="1:6">
      <c r="A1293" s="9" t="str">
        <f>"20272104401"</f>
        <v>20272104401</v>
      </c>
      <c r="B1293" s="10">
        <v>48.44</v>
      </c>
      <c r="C1293" s="9"/>
      <c r="D1293" s="9">
        <f t="shared" si="20"/>
        <v>48.44</v>
      </c>
      <c r="E1293" s="11"/>
      <c r="F1293" s="9"/>
    </row>
    <row r="1294" s="1" customFormat="1" customHeight="1" spans="1:6">
      <c r="A1294" s="9" t="str">
        <f>"10362104402"</f>
        <v>10362104402</v>
      </c>
      <c r="B1294" s="10">
        <v>0</v>
      </c>
      <c r="C1294" s="9"/>
      <c r="D1294" s="9">
        <f t="shared" si="20"/>
        <v>0</v>
      </c>
      <c r="E1294" s="11"/>
      <c r="F1294" s="9" t="s">
        <v>7</v>
      </c>
    </row>
    <row r="1295" s="1" customFormat="1" customHeight="1" spans="1:6">
      <c r="A1295" s="9" t="str">
        <f>"10092104403"</f>
        <v>10092104403</v>
      </c>
      <c r="B1295" s="10">
        <v>43</v>
      </c>
      <c r="C1295" s="9"/>
      <c r="D1295" s="9">
        <f t="shared" si="20"/>
        <v>43</v>
      </c>
      <c r="E1295" s="11"/>
      <c r="F1295" s="9"/>
    </row>
    <row r="1296" s="1" customFormat="1" customHeight="1" spans="1:6">
      <c r="A1296" s="9" t="str">
        <f>"10232104404"</f>
        <v>10232104404</v>
      </c>
      <c r="B1296" s="10">
        <v>39.58</v>
      </c>
      <c r="C1296" s="9"/>
      <c r="D1296" s="9">
        <f t="shared" si="20"/>
        <v>39.58</v>
      </c>
      <c r="E1296" s="11"/>
      <c r="F1296" s="9"/>
    </row>
    <row r="1297" s="1" customFormat="1" customHeight="1" spans="1:6">
      <c r="A1297" s="9" t="str">
        <f>"10132104405"</f>
        <v>10132104405</v>
      </c>
      <c r="B1297" s="10">
        <v>0</v>
      </c>
      <c r="C1297" s="9"/>
      <c r="D1297" s="9">
        <f t="shared" si="20"/>
        <v>0</v>
      </c>
      <c r="E1297" s="11"/>
      <c r="F1297" s="9" t="s">
        <v>7</v>
      </c>
    </row>
    <row r="1298" s="1" customFormat="1" customHeight="1" spans="1:6">
      <c r="A1298" s="9" t="str">
        <f>"10442104406"</f>
        <v>10442104406</v>
      </c>
      <c r="B1298" s="10">
        <v>39.95</v>
      </c>
      <c r="C1298" s="9"/>
      <c r="D1298" s="9">
        <f t="shared" si="20"/>
        <v>39.95</v>
      </c>
      <c r="E1298" s="11"/>
      <c r="F1298" s="9"/>
    </row>
    <row r="1299" s="1" customFormat="1" customHeight="1" spans="1:6">
      <c r="A1299" s="9" t="str">
        <f>"10472104407"</f>
        <v>10472104407</v>
      </c>
      <c r="B1299" s="10">
        <v>0</v>
      </c>
      <c r="C1299" s="9"/>
      <c r="D1299" s="9">
        <f t="shared" si="20"/>
        <v>0</v>
      </c>
      <c r="E1299" s="11"/>
      <c r="F1299" s="9" t="s">
        <v>7</v>
      </c>
    </row>
    <row r="1300" s="1" customFormat="1" customHeight="1" spans="1:6">
      <c r="A1300" s="9" t="str">
        <f>"10362104408"</f>
        <v>10362104408</v>
      </c>
      <c r="B1300" s="10">
        <v>33.81</v>
      </c>
      <c r="C1300" s="9"/>
      <c r="D1300" s="9">
        <f t="shared" si="20"/>
        <v>33.81</v>
      </c>
      <c r="E1300" s="11"/>
      <c r="F1300" s="9"/>
    </row>
    <row r="1301" s="1" customFormat="1" customHeight="1" spans="1:6">
      <c r="A1301" s="9" t="str">
        <f>"10112104409"</f>
        <v>10112104409</v>
      </c>
      <c r="B1301" s="10">
        <v>49.08</v>
      </c>
      <c r="C1301" s="9"/>
      <c r="D1301" s="9">
        <f t="shared" si="20"/>
        <v>49.08</v>
      </c>
      <c r="E1301" s="11"/>
      <c r="F1301" s="9"/>
    </row>
    <row r="1302" s="1" customFormat="1" customHeight="1" spans="1:6">
      <c r="A1302" s="9" t="str">
        <f>"10122104410"</f>
        <v>10122104410</v>
      </c>
      <c r="B1302" s="10">
        <v>55.16</v>
      </c>
      <c r="C1302" s="9"/>
      <c r="D1302" s="9">
        <f t="shared" si="20"/>
        <v>55.16</v>
      </c>
      <c r="E1302" s="11"/>
      <c r="F1302" s="9"/>
    </row>
    <row r="1303" s="1" customFormat="1" customHeight="1" spans="1:6">
      <c r="A1303" s="9" t="str">
        <f>"10362104411"</f>
        <v>10362104411</v>
      </c>
      <c r="B1303" s="10">
        <v>0</v>
      </c>
      <c r="C1303" s="9"/>
      <c r="D1303" s="9">
        <f t="shared" si="20"/>
        <v>0</v>
      </c>
      <c r="E1303" s="11"/>
      <c r="F1303" s="9" t="s">
        <v>7</v>
      </c>
    </row>
    <row r="1304" s="1" customFormat="1" customHeight="1" spans="1:6">
      <c r="A1304" s="9" t="str">
        <f>"10322104412"</f>
        <v>10322104412</v>
      </c>
      <c r="B1304" s="10">
        <v>0</v>
      </c>
      <c r="C1304" s="9"/>
      <c r="D1304" s="9">
        <f t="shared" si="20"/>
        <v>0</v>
      </c>
      <c r="E1304" s="11"/>
      <c r="F1304" s="9" t="s">
        <v>7</v>
      </c>
    </row>
    <row r="1305" s="1" customFormat="1" customHeight="1" spans="1:6">
      <c r="A1305" s="9" t="str">
        <f>"10212104413"</f>
        <v>10212104413</v>
      </c>
      <c r="B1305" s="10">
        <v>46.69</v>
      </c>
      <c r="C1305" s="9"/>
      <c r="D1305" s="9">
        <f t="shared" si="20"/>
        <v>46.69</v>
      </c>
      <c r="E1305" s="11"/>
      <c r="F1305" s="9"/>
    </row>
    <row r="1306" s="1" customFormat="1" customHeight="1" spans="1:6">
      <c r="A1306" s="9" t="str">
        <f>"10442104414"</f>
        <v>10442104414</v>
      </c>
      <c r="B1306" s="10">
        <v>34.82</v>
      </c>
      <c r="C1306" s="9"/>
      <c r="D1306" s="9">
        <f t="shared" si="20"/>
        <v>34.82</v>
      </c>
      <c r="E1306" s="11"/>
      <c r="F1306" s="9"/>
    </row>
    <row r="1307" s="1" customFormat="1" customHeight="1" spans="1:6">
      <c r="A1307" s="9" t="str">
        <f>"10492104415"</f>
        <v>10492104415</v>
      </c>
      <c r="B1307" s="10">
        <v>47.15</v>
      </c>
      <c r="C1307" s="9"/>
      <c r="D1307" s="9">
        <f t="shared" si="20"/>
        <v>47.15</v>
      </c>
      <c r="E1307" s="11"/>
      <c r="F1307" s="9"/>
    </row>
    <row r="1308" s="1" customFormat="1" customHeight="1" spans="1:6">
      <c r="A1308" s="9" t="str">
        <f>"10142104416"</f>
        <v>10142104416</v>
      </c>
      <c r="B1308" s="10">
        <v>37.65</v>
      </c>
      <c r="C1308" s="9"/>
      <c r="D1308" s="9">
        <f t="shared" si="20"/>
        <v>37.65</v>
      </c>
      <c r="E1308" s="11"/>
      <c r="F1308" s="9"/>
    </row>
    <row r="1309" s="1" customFormat="1" customHeight="1" spans="1:6">
      <c r="A1309" s="9" t="str">
        <f>"10272104417"</f>
        <v>10272104417</v>
      </c>
      <c r="B1309" s="10">
        <v>0</v>
      </c>
      <c r="C1309" s="9"/>
      <c r="D1309" s="9">
        <f t="shared" si="20"/>
        <v>0</v>
      </c>
      <c r="E1309" s="11"/>
      <c r="F1309" s="9" t="s">
        <v>7</v>
      </c>
    </row>
    <row r="1310" s="1" customFormat="1" customHeight="1" spans="1:6">
      <c r="A1310" s="9" t="str">
        <f>"10502104418"</f>
        <v>10502104418</v>
      </c>
      <c r="B1310" s="10">
        <v>41.34</v>
      </c>
      <c r="C1310" s="9"/>
      <c r="D1310" s="9">
        <f t="shared" si="20"/>
        <v>41.34</v>
      </c>
      <c r="E1310" s="11"/>
      <c r="F1310" s="9"/>
    </row>
    <row r="1311" s="1" customFormat="1" customHeight="1" spans="1:6">
      <c r="A1311" s="9" t="str">
        <f>"10362104419"</f>
        <v>10362104419</v>
      </c>
      <c r="B1311" s="10">
        <v>0</v>
      </c>
      <c r="C1311" s="9"/>
      <c r="D1311" s="9">
        <f t="shared" si="20"/>
        <v>0</v>
      </c>
      <c r="E1311" s="11"/>
      <c r="F1311" s="9" t="s">
        <v>7</v>
      </c>
    </row>
    <row r="1312" s="1" customFormat="1" customHeight="1" spans="1:6">
      <c r="A1312" s="9" t="str">
        <f>"10132104420"</f>
        <v>10132104420</v>
      </c>
      <c r="B1312" s="10">
        <v>0</v>
      </c>
      <c r="C1312" s="9"/>
      <c r="D1312" s="9">
        <f t="shared" si="20"/>
        <v>0</v>
      </c>
      <c r="E1312" s="11"/>
      <c r="F1312" s="9" t="s">
        <v>7</v>
      </c>
    </row>
    <row r="1313" s="1" customFormat="1" customHeight="1" spans="1:6">
      <c r="A1313" s="9" t="str">
        <f>"10302104421"</f>
        <v>10302104421</v>
      </c>
      <c r="B1313" s="10">
        <v>47.21</v>
      </c>
      <c r="C1313" s="9"/>
      <c r="D1313" s="9">
        <f t="shared" si="20"/>
        <v>47.21</v>
      </c>
      <c r="E1313" s="11"/>
      <c r="F1313" s="9"/>
    </row>
    <row r="1314" s="1" customFormat="1" customHeight="1" spans="1:6">
      <c r="A1314" s="9" t="str">
        <f>"10502104422"</f>
        <v>10502104422</v>
      </c>
      <c r="B1314" s="10">
        <v>0</v>
      </c>
      <c r="C1314" s="9"/>
      <c r="D1314" s="9">
        <f t="shared" si="20"/>
        <v>0</v>
      </c>
      <c r="E1314" s="11"/>
      <c r="F1314" s="9" t="s">
        <v>7</v>
      </c>
    </row>
    <row r="1315" s="1" customFormat="1" customHeight="1" spans="1:6">
      <c r="A1315" s="9" t="str">
        <f>"10062104423"</f>
        <v>10062104423</v>
      </c>
      <c r="B1315" s="10">
        <v>32.95</v>
      </c>
      <c r="C1315" s="9"/>
      <c r="D1315" s="9">
        <f t="shared" si="20"/>
        <v>32.95</v>
      </c>
      <c r="E1315" s="11"/>
      <c r="F1315" s="9"/>
    </row>
    <row r="1316" s="1" customFormat="1" customHeight="1" spans="1:6">
      <c r="A1316" s="9" t="str">
        <f>"10512104424"</f>
        <v>10512104424</v>
      </c>
      <c r="B1316" s="10">
        <v>39.22</v>
      </c>
      <c r="C1316" s="9"/>
      <c r="D1316" s="9">
        <f t="shared" si="20"/>
        <v>39.22</v>
      </c>
      <c r="E1316" s="11"/>
      <c r="F1316" s="9"/>
    </row>
    <row r="1317" s="1" customFormat="1" customHeight="1" spans="1:6">
      <c r="A1317" s="9" t="str">
        <f>"10332104425"</f>
        <v>10332104425</v>
      </c>
      <c r="B1317" s="10">
        <v>0</v>
      </c>
      <c r="C1317" s="9"/>
      <c r="D1317" s="9">
        <f t="shared" si="20"/>
        <v>0</v>
      </c>
      <c r="E1317" s="11"/>
      <c r="F1317" s="9" t="s">
        <v>7</v>
      </c>
    </row>
    <row r="1318" s="1" customFormat="1" customHeight="1" spans="1:6">
      <c r="A1318" s="9" t="str">
        <f>"10362104426"</f>
        <v>10362104426</v>
      </c>
      <c r="B1318" s="10">
        <v>0</v>
      </c>
      <c r="C1318" s="9"/>
      <c r="D1318" s="9">
        <f t="shared" si="20"/>
        <v>0</v>
      </c>
      <c r="E1318" s="11"/>
      <c r="F1318" s="9" t="s">
        <v>7</v>
      </c>
    </row>
    <row r="1319" s="1" customFormat="1" customHeight="1" spans="1:6">
      <c r="A1319" s="9" t="str">
        <f>"10102104427"</f>
        <v>10102104427</v>
      </c>
      <c r="B1319" s="10">
        <v>43.52</v>
      </c>
      <c r="C1319" s="9"/>
      <c r="D1319" s="9">
        <f t="shared" si="20"/>
        <v>43.52</v>
      </c>
      <c r="E1319" s="11"/>
      <c r="F1319" s="9"/>
    </row>
    <row r="1320" s="1" customFormat="1" customHeight="1" spans="1:6">
      <c r="A1320" s="9" t="str">
        <f>"10242104428"</f>
        <v>10242104428</v>
      </c>
      <c r="B1320" s="10">
        <v>47.33</v>
      </c>
      <c r="C1320" s="9"/>
      <c r="D1320" s="9">
        <f t="shared" si="20"/>
        <v>47.33</v>
      </c>
      <c r="E1320" s="11"/>
      <c r="F1320" s="9"/>
    </row>
    <row r="1321" s="1" customFormat="1" customHeight="1" spans="1:6">
      <c r="A1321" s="9" t="str">
        <f>"10112104429"</f>
        <v>10112104429</v>
      </c>
      <c r="B1321" s="10">
        <v>0</v>
      </c>
      <c r="C1321" s="9"/>
      <c r="D1321" s="9">
        <f t="shared" si="20"/>
        <v>0</v>
      </c>
      <c r="E1321" s="11"/>
      <c r="F1321" s="9" t="s">
        <v>7</v>
      </c>
    </row>
    <row r="1322" s="1" customFormat="1" customHeight="1" spans="1:6">
      <c r="A1322" s="9" t="str">
        <f>"10362104430"</f>
        <v>10362104430</v>
      </c>
      <c r="B1322" s="10">
        <v>44.66</v>
      </c>
      <c r="C1322" s="9"/>
      <c r="D1322" s="9">
        <f t="shared" si="20"/>
        <v>44.66</v>
      </c>
      <c r="E1322" s="11"/>
      <c r="F1322" s="9"/>
    </row>
    <row r="1323" s="1" customFormat="1" customHeight="1" spans="1:6">
      <c r="A1323" s="9" t="str">
        <f>"10012104501"</f>
        <v>10012104501</v>
      </c>
      <c r="B1323" s="10">
        <v>0</v>
      </c>
      <c r="C1323" s="9"/>
      <c r="D1323" s="9">
        <f t="shared" si="20"/>
        <v>0</v>
      </c>
      <c r="E1323" s="11"/>
      <c r="F1323" s="9" t="s">
        <v>7</v>
      </c>
    </row>
    <row r="1324" s="1" customFormat="1" customHeight="1" spans="1:6">
      <c r="A1324" s="9" t="str">
        <f>"10212104502"</f>
        <v>10212104502</v>
      </c>
      <c r="B1324" s="10">
        <v>0</v>
      </c>
      <c r="C1324" s="9"/>
      <c r="D1324" s="9">
        <f t="shared" si="20"/>
        <v>0</v>
      </c>
      <c r="E1324" s="11"/>
      <c r="F1324" s="9" t="s">
        <v>7</v>
      </c>
    </row>
    <row r="1325" s="1" customFormat="1" customHeight="1" spans="1:6">
      <c r="A1325" s="9" t="str">
        <f>"10522104503"</f>
        <v>10522104503</v>
      </c>
      <c r="B1325" s="10">
        <v>42.21</v>
      </c>
      <c r="C1325" s="9"/>
      <c r="D1325" s="9">
        <f t="shared" si="20"/>
        <v>42.21</v>
      </c>
      <c r="E1325" s="11"/>
      <c r="F1325" s="9"/>
    </row>
    <row r="1326" s="1" customFormat="1" customHeight="1" spans="1:6">
      <c r="A1326" s="9" t="str">
        <f>"10282104504"</f>
        <v>10282104504</v>
      </c>
      <c r="B1326" s="10">
        <v>42.42</v>
      </c>
      <c r="C1326" s="9"/>
      <c r="D1326" s="9">
        <f t="shared" si="20"/>
        <v>42.42</v>
      </c>
      <c r="E1326" s="11"/>
      <c r="F1326" s="9"/>
    </row>
    <row r="1327" s="1" customFormat="1" customHeight="1" spans="1:6">
      <c r="A1327" s="9" t="str">
        <f>"10522104505"</f>
        <v>10522104505</v>
      </c>
      <c r="B1327" s="10">
        <v>39.6</v>
      </c>
      <c r="C1327" s="9"/>
      <c r="D1327" s="9">
        <f t="shared" si="20"/>
        <v>39.6</v>
      </c>
      <c r="E1327" s="11"/>
      <c r="F1327" s="9"/>
    </row>
    <row r="1328" s="1" customFormat="1" customHeight="1" spans="1:6">
      <c r="A1328" s="9" t="str">
        <f>"10492104506"</f>
        <v>10492104506</v>
      </c>
      <c r="B1328" s="10">
        <v>43.46</v>
      </c>
      <c r="C1328" s="9"/>
      <c r="D1328" s="9">
        <f t="shared" si="20"/>
        <v>43.46</v>
      </c>
      <c r="E1328" s="11"/>
      <c r="F1328" s="9"/>
    </row>
    <row r="1329" s="1" customFormat="1" customHeight="1" spans="1:6">
      <c r="A1329" s="9" t="str">
        <f>"10362104507"</f>
        <v>10362104507</v>
      </c>
      <c r="B1329" s="10">
        <v>37.01</v>
      </c>
      <c r="C1329" s="9"/>
      <c r="D1329" s="9">
        <f t="shared" si="20"/>
        <v>37.01</v>
      </c>
      <c r="E1329" s="11"/>
      <c r="F1329" s="9"/>
    </row>
    <row r="1330" s="1" customFormat="1" customHeight="1" spans="1:6">
      <c r="A1330" s="9" t="str">
        <f>"10202104508"</f>
        <v>10202104508</v>
      </c>
      <c r="B1330" s="10">
        <v>0</v>
      </c>
      <c r="C1330" s="9"/>
      <c r="D1330" s="9">
        <f t="shared" si="20"/>
        <v>0</v>
      </c>
      <c r="E1330" s="11"/>
      <c r="F1330" s="9" t="s">
        <v>7</v>
      </c>
    </row>
    <row r="1331" s="1" customFormat="1" customHeight="1" spans="1:6">
      <c r="A1331" s="9" t="str">
        <f>"10532104509"</f>
        <v>10532104509</v>
      </c>
      <c r="B1331" s="10">
        <v>40.07</v>
      </c>
      <c r="C1331" s="9"/>
      <c r="D1331" s="9">
        <f t="shared" si="20"/>
        <v>40.07</v>
      </c>
      <c r="E1331" s="11"/>
      <c r="F1331" s="9"/>
    </row>
    <row r="1332" s="1" customFormat="1" customHeight="1" spans="1:6">
      <c r="A1332" s="9" t="str">
        <f>"10062104510"</f>
        <v>10062104510</v>
      </c>
      <c r="B1332" s="10">
        <v>44.66</v>
      </c>
      <c r="C1332" s="9"/>
      <c r="D1332" s="9">
        <f t="shared" si="20"/>
        <v>44.66</v>
      </c>
      <c r="E1332" s="11"/>
      <c r="F1332" s="9"/>
    </row>
    <row r="1333" s="1" customFormat="1" customHeight="1" spans="1:6">
      <c r="A1333" s="9" t="str">
        <f>"10062104511"</f>
        <v>10062104511</v>
      </c>
      <c r="B1333" s="10">
        <v>32.17</v>
      </c>
      <c r="C1333" s="9"/>
      <c r="D1333" s="9">
        <f t="shared" si="20"/>
        <v>32.17</v>
      </c>
      <c r="E1333" s="11"/>
      <c r="F1333" s="9"/>
    </row>
    <row r="1334" s="1" customFormat="1" customHeight="1" spans="1:6">
      <c r="A1334" s="9" t="str">
        <f>"10362104512"</f>
        <v>10362104512</v>
      </c>
      <c r="B1334" s="10">
        <v>39.04</v>
      </c>
      <c r="C1334" s="9"/>
      <c r="D1334" s="9">
        <f t="shared" si="20"/>
        <v>39.04</v>
      </c>
      <c r="E1334" s="11"/>
      <c r="F1334" s="9"/>
    </row>
    <row r="1335" s="1" customFormat="1" customHeight="1" spans="1:6">
      <c r="A1335" s="9" t="str">
        <f>"10302104513"</f>
        <v>10302104513</v>
      </c>
      <c r="B1335" s="10">
        <v>42.78</v>
      </c>
      <c r="C1335" s="9"/>
      <c r="D1335" s="9">
        <f t="shared" si="20"/>
        <v>42.78</v>
      </c>
      <c r="E1335" s="11"/>
      <c r="F1335" s="9"/>
    </row>
    <row r="1336" s="1" customFormat="1" customHeight="1" spans="1:6">
      <c r="A1336" s="9" t="str">
        <f>"10082104514"</f>
        <v>10082104514</v>
      </c>
      <c r="B1336" s="10">
        <v>40.36</v>
      </c>
      <c r="C1336" s="9"/>
      <c r="D1336" s="9">
        <f t="shared" si="20"/>
        <v>40.36</v>
      </c>
      <c r="E1336" s="11"/>
      <c r="F1336" s="9"/>
    </row>
    <row r="1337" s="1" customFormat="1" customHeight="1" spans="1:6">
      <c r="A1337" s="9" t="str">
        <f>"10122104515"</f>
        <v>10122104515</v>
      </c>
      <c r="B1337" s="10">
        <v>38.66</v>
      </c>
      <c r="C1337" s="9"/>
      <c r="D1337" s="9">
        <f t="shared" si="20"/>
        <v>38.66</v>
      </c>
      <c r="E1337" s="11"/>
      <c r="F1337" s="9"/>
    </row>
    <row r="1338" s="1" customFormat="1" customHeight="1" spans="1:6">
      <c r="A1338" s="9" t="str">
        <f>"10382104516"</f>
        <v>10382104516</v>
      </c>
      <c r="B1338" s="10">
        <v>34.11</v>
      </c>
      <c r="C1338" s="9"/>
      <c r="D1338" s="9">
        <f t="shared" si="20"/>
        <v>34.11</v>
      </c>
      <c r="E1338" s="11"/>
      <c r="F1338" s="9"/>
    </row>
    <row r="1339" s="1" customFormat="1" customHeight="1" spans="1:6">
      <c r="A1339" s="9" t="str">
        <f>"10082104517"</f>
        <v>10082104517</v>
      </c>
      <c r="B1339" s="10">
        <v>44.1</v>
      </c>
      <c r="C1339" s="9"/>
      <c r="D1339" s="9">
        <f t="shared" si="20"/>
        <v>44.1</v>
      </c>
      <c r="E1339" s="11"/>
      <c r="F1339" s="9"/>
    </row>
    <row r="1340" s="1" customFormat="1" customHeight="1" spans="1:6">
      <c r="A1340" s="9" t="str">
        <f>"10512104518"</f>
        <v>10512104518</v>
      </c>
      <c r="B1340" s="10">
        <v>33.3</v>
      </c>
      <c r="C1340" s="9"/>
      <c r="D1340" s="9">
        <f t="shared" si="20"/>
        <v>33.3</v>
      </c>
      <c r="E1340" s="11"/>
      <c r="F1340" s="9"/>
    </row>
    <row r="1341" s="1" customFormat="1" customHeight="1" spans="1:6">
      <c r="A1341" s="9" t="str">
        <f>"10082104519"</f>
        <v>10082104519</v>
      </c>
      <c r="B1341" s="10">
        <v>42.86</v>
      </c>
      <c r="C1341" s="9"/>
      <c r="D1341" s="9">
        <f t="shared" si="20"/>
        <v>42.86</v>
      </c>
      <c r="E1341" s="11"/>
      <c r="F1341" s="9"/>
    </row>
    <row r="1342" s="1" customFormat="1" customHeight="1" spans="1:6">
      <c r="A1342" s="9" t="str">
        <f>"10212104520"</f>
        <v>10212104520</v>
      </c>
      <c r="B1342" s="10">
        <v>43.98</v>
      </c>
      <c r="C1342" s="9"/>
      <c r="D1342" s="9">
        <f t="shared" si="20"/>
        <v>43.98</v>
      </c>
      <c r="E1342" s="11"/>
      <c r="F1342" s="9"/>
    </row>
    <row r="1343" s="1" customFormat="1" customHeight="1" spans="1:6">
      <c r="A1343" s="9" t="str">
        <f>"10062104521"</f>
        <v>10062104521</v>
      </c>
      <c r="B1343" s="10">
        <v>41.17</v>
      </c>
      <c r="C1343" s="9"/>
      <c r="D1343" s="9">
        <f t="shared" si="20"/>
        <v>41.17</v>
      </c>
      <c r="E1343" s="11"/>
      <c r="F1343" s="9"/>
    </row>
    <row r="1344" s="1" customFormat="1" customHeight="1" spans="1:6">
      <c r="A1344" s="9" t="str">
        <f>"10472104522"</f>
        <v>10472104522</v>
      </c>
      <c r="B1344" s="10">
        <v>0</v>
      </c>
      <c r="C1344" s="9"/>
      <c r="D1344" s="9">
        <f t="shared" si="20"/>
        <v>0</v>
      </c>
      <c r="E1344" s="11"/>
      <c r="F1344" s="9" t="s">
        <v>7</v>
      </c>
    </row>
    <row r="1345" s="1" customFormat="1" customHeight="1" spans="1:6">
      <c r="A1345" s="9" t="str">
        <f>"10142104523"</f>
        <v>10142104523</v>
      </c>
      <c r="B1345" s="10">
        <v>56.55</v>
      </c>
      <c r="C1345" s="9"/>
      <c r="D1345" s="9">
        <f t="shared" si="20"/>
        <v>56.55</v>
      </c>
      <c r="E1345" s="11"/>
      <c r="F1345" s="9"/>
    </row>
    <row r="1346" s="1" customFormat="1" customHeight="1" spans="1:6">
      <c r="A1346" s="9" t="str">
        <f>"10442104524"</f>
        <v>10442104524</v>
      </c>
      <c r="B1346" s="10">
        <v>0</v>
      </c>
      <c r="C1346" s="9"/>
      <c r="D1346" s="9">
        <f t="shared" si="20"/>
        <v>0</v>
      </c>
      <c r="E1346" s="11"/>
      <c r="F1346" s="9" t="s">
        <v>7</v>
      </c>
    </row>
    <row r="1347" s="1" customFormat="1" customHeight="1" spans="1:6">
      <c r="A1347" s="9" t="str">
        <f>"10342104525"</f>
        <v>10342104525</v>
      </c>
      <c r="B1347" s="10">
        <v>44.54</v>
      </c>
      <c r="C1347" s="9"/>
      <c r="D1347" s="9">
        <f t="shared" ref="D1347:D1410" si="21">SUM(B1347:C1347)</f>
        <v>44.54</v>
      </c>
      <c r="E1347" s="11"/>
      <c r="F1347" s="9"/>
    </row>
    <row r="1348" s="1" customFormat="1" customHeight="1" spans="1:6">
      <c r="A1348" s="9" t="str">
        <f>"10452104526"</f>
        <v>10452104526</v>
      </c>
      <c r="B1348" s="10">
        <v>46.15</v>
      </c>
      <c r="C1348" s="9"/>
      <c r="D1348" s="9">
        <f t="shared" si="21"/>
        <v>46.15</v>
      </c>
      <c r="E1348" s="11"/>
      <c r="F1348" s="9"/>
    </row>
    <row r="1349" s="1" customFormat="1" customHeight="1" spans="1:6">
      <c r="A1349" s="9" t="str">
        <f>"10452104527"</f>
        <v>10452104527</v>
      </c>
      <c r="B1349" s="10">
        <v>0</v>
      </c>
      <c r="C1349" s="9"/>
      <c r="D1349" s="9">
        <f t="shared" si="21"/>
        <v>0</v>
      </c>
      <c r="E1349" s="11"/>
      <c r="F1349" s="9" t="s">
        <v>7</v>
      </c>
    </row>
    <row r="1350" s="1" customFormat="1" customHeight="1" spans="1:6">
      <c r="A1350" s="9" t="str">
        <f>"10342104528"</f>
        <v>10342104528</v>
      </c>
      <c r="B1350" s="10">
        <v>39.92</v>
      </c>
      <c r="C1350" s="9"/>
      <c r="D1350" s="9">
        <f t="shared" si="21"/>
        <v>39.92</v>
      </c>
      <c r="E1350" s="11"/>
      <c r="F1350" s="9"/>
    </row>
    <row r="1351" s="1" customFormat="1" customHeight="1" spans="1:6">
      <c r="A1351" s="9" t="str">
        <f>"10292104529"</f>
        <v>10292104529</v>
      </c>
      <c r="B1351" s="10">
        <v>34.84</v>
      </c>
      <c r="C1351" s="9"/>
      <c r="D1351" s="9">
        <f t="shared" si="21"/>
        <v>34.84</v>
      </c>
      <c r="E1351" s="11"/>
      <c r="F1351" s="9"/>
    </row>
    <row r="1352" s="1" customFormat="1" customHeight="1" spans="1:6">
      <c r="A1352" s="9" t="str">
        <f>"10502104530"</f>
        <v>10502104530</v>
      </c>
      <c r="B1352" s="10">
        <v>26.66</v>
      </c>
      <c r="C1352" s="9"/>
      <c r="D1352" s="9">
        <f t="shared" si="21"/>
        <v>26.66</v>
      </c>
      <c r="E1352" s="11"/>
      <c r="F1352" s="9"/>
    </row>
    <row r="1353" s="1" customFormat="1" customHeight="1" spans="1:6">
      <c r="A1353" s="9" t="str">
        <f>"10212104601"</f>
        <v>10212104601</v>
      </c>
      <c r="B1353" s="10">
        <v>0</v>
      </c>
      <c r="C1353" s="9"/>
      <c r="D1353" s="9">
        <f t="shared" si="21"/>
        <v>0</v>
      </c>
      <c r="E1353" s="11"/>
      <c r="F1353" s="9" t="s">
        <v>7</v>
      </c>
    </row>
    <row r="1354" s="1" customFormat="1" customHeight="1" spans="1:6">
      <c r="A1354" s="9" t="str">
        <f>"10362104602"</f>
        <v>10362104602</v>
      </c>
      <c r="B1354" s="10">
        <v>40.39</v>
      </c>
      <c r="C1354" s="9"/>
      <c r="D1354" s="9">
        <f t="shared" si="21"/>
        <v>40.39</v>
      </c>
      <c r="E1354" s="11"/>
      <c r="F1354" s="9"/>
    </row>
    <row r="1355" s="1" customFormat="1" customHeight="1" spans="1:6">
      <c r="A1355" s="9" t="str">
        <f>"10532104603"</f>
        <v>10532104603</v>
      </c>
      <c r="B1355" s="10">
        <v>49.38</v>
      </c>
      <c r="C1355" s="9"/>
      <c r="D1355" s="9">
        <f t="shared" si="21"/>
        <v>49.38</v>
      </c>
      <c r="E1355" s="11"/>
      <c r="F1355" s="9"/>
    </row>
    <row r="1356" s="1" customFormat="1" customHeight="1" spans="1:6">
      <c r="A1356" s="9" t="str">
        <f>"10312104604"</f>
        <v>10312104604</v>
      </c>
      <c r="B1356" s="10">
        <v>40.28</v>
      </c>
      <c r="C1356" s="9"/>
      <c r="D1356" s="9">
        <f t="shared" si="21"/>
        <v>40.28</v>
      </c>
      <c r="E1356" s="11"/>
      <c r="F1356" s="9"/>
    </row>
    <row r="1357" s="1" customFormat="1" customHeight="1" spans="1:6">
      <c r="A1357" s="9" t="str">
        <f>"10082104605"</f>
        <v>10082104605</v>
      </c>
      <c r="B1357" s="10">
        <v>68.96</v>
      </c>
      <c r="C1357" s="9"/>
      <c r="D1357" s="9">
        <f t="shared" si="21"/>
        <v>68.96</v>
      </c>
      <c r="E1357" s="11"/>
      <c r="F1357" s="9"/>
    </row>
    <row r="1358" s="1" customFormat="1" customHeight="1" spans="1:6">
      <c r="A1358" s="9" t="str">
        <f>"10212104606"</f>
        <v>10212104606</v>
      </c>
      <c r="B1358" s="10">
        <v>45.7</v>
      </c>
      <c r="C1358" s="9"/>
      <c r="D1358" s="9">
        <f t="shared" si="21"/>
        <v>45.7</v>
      </c>
      <c r="E1358" s="11"/>
      <c r="F1358" s="9"/>
    </row>
    <row r="1359" s="1" customFormat="1" customHeight="1" spans="1:6">
      <c r="A1359" s="9" t="str">
        <f>"20272104607"</f>
        <v>20272104607</v>
      </c>
      <c r="B1359" s="10">
        <v>0</v>
      </c>
      <c r="C1359" s="9"/>
      <c r="D1359" s="9">
        <f t="shared" si="21"/>
        <v>0</v>
      </c>
      <c r="E1359" s="11"/>
      <c r="F1359" s="9" t="s">
        <v>7</v>
      </c>
    </row>
    <row r="1360" s="1" customFormat="1" customHeight="1" spans="1:6">
      <c r="A1360" s="9" t="str">
        <f>"10362104608"</f>
        <v>10362104608</v>
      </c>
      <c r="B1360" s="10">
        <v>32.72</v>
      </c>
      <c r="C1360" s="9"/>
      <c r="D1360" s="9">
        <f t="shared" si="21"/>
        <v>32.72</v>
      </c>
      <c r="E1360" s="11"/>
      <c r="F1360" s="9"/>
    </row>
    <row r="1361" s="1" customFormat="1" customHeight="1" spans="1:6">
      <c r="A1361" s="9" t="str">
        <f>"10332104609"</f>
        <v>10332104609</v>
      </c>
      <c r="B1361" s="10">
        <v>0</v>
      </c>
      <c r="C1361" s="9"/>
      <c r="D1361" s="9">
        <f t="shared" si="21"/>
        <v>0</v>
      </c>
      <c r="E1361" s="11"/>
      <c r="F1361" s="9" t="s">
        <v>7</v>
      </c>
    </row>
    <row r="1362" s="1" customFormat="1" customHeight="1" spans="1:6">
      <c r="A1362" s="9" t="str">
        <f>"10362104610"</f>
        <v>10362104610</v>
      </c>
      <c r="B1362" s="10">
        <v>43.98</v>
      </c>
      <c r="C1362" s="9"/>
      <c r="D1362" s="9">
        <f t="shared" si="21"/>
        <v>43.98</v>
      </c>
      <c r="E1362" s="11"/>
      <c r="F1362" s="9"/>
    </row>
    <row r="1363" s="1" customFormat="1" customHeight="1" spans="1:6">
      <c r="A1363" s="9" t="str">
        <f>"10492104611"</f>
        <v>10492104611</v>
      </c>
      <c r="B1363" s="10">
        <v>32.62</v>
      </c>
      <c r="C1363" s="9"/>
      <c r="D1363" s="9">
        <f t="shared" si="21"/>
        <v>32.62</v>
      </c>
      <c r="E1363" s="11"/>
      <c r="F1363" s="9"/>
    </row>
    <row r="1364" s="1" customFormat="1" customHeight="1" spans="1:6">
      <c r="A1364" s="9" t="str">
        <f>"10332104612"</f>
        <v>10332104612</v>
      </c>
      <c r="B1364" s="10">
        <v>42.35</v>
      </c>
      <c r="C1364" s="9"/>
      <c r="D1364" s="9">
        <f t="shared" si="21"/>
        <v>42.35</v>
      </c>
      <c r="E1364" s="11"/>
      <c r="F1364" s="9"/>
    </row>
    <row r="1365" s="1" customFormat="1" customHeight="1" spans="1:6">
      <c r="A1365" s="9" t="str">
        <f>"10452104613"</f>
        <v>10452104613</v>
      </c>
      <c r="B1365" s="10">
        <v>51.19</v>
      </c>
      <c r="C1365" s="9"/>
      <c r="D1365" s="9">
        <f t="shared" si="21"/>
        <v>51.19</v>
      </c>
      <c r="E1365" s="11"/>
      <c r="F1365" s="9"/>
    </row>
    <row r="1366" s="1" customFormat="1" customHeight="1" spans="1:6">
      <c r="A1366" s="9" t="str">
        <f>"10172104614"</f>
        <v>10172104614</v>
      </c>
      <c r="B1366" s="10">
        <v>0</v>
      </c>
      <c r="C1366" s="9"/>
      <c r="D1366" s="9">
        <f t="shared" si="21"/>
        <v>0</v>
      </c>
      <c r="E1366" s="11"/>
      <c r="F1366" s="9" t="s">
        <v>7</v>
      </c>
    </row>
    <row r="1367" s="1" customFormat="1" customHeight="1" spans="1:6">
      <c r="A1367" s="9" t="str">
        <f>"10082104615"</f>
        <v>10082104615</v>
      </c>
      <c r="B1367" s="10">
        <v>34.96</v>
      </c>
      <c r="C1367" s="9"/>
      <c r="D1367" s="9">
        <f t="shared" si="21"/>
        <v>34.96</v>
      </c>
      <c r="E1367" s="11"/>
      <c r="F1367" s="9"/>
    </row>
    <row r="1368" s="1" customFormat="1" customHeight="1" spans="1:6">
      <c r="A1368" s="9" t="str">
        <f>"10212104616"</f>
        <v>10212104616</v>
      </c>
      <c r="B1368" s="10">
        <v>0</v>
      </c>
      <c r="C1368" s="9"/>
      <c r="D1368" s="9">
        <f t="shared" si="21"/>
        <v>0</v>
      </c>
      <c r="E1368" s="11"/>
      <c r="F1368" s="9" t="s">
        <v>7</v>
      </c>
    </row>
    <row r="1369" s="1" customFormat="1" customHeight="1" spans="1:6">
      <c r="A1369" s="9" t="str">
        <f>"10122104617"</f>
        <v>10122104617</v>
      </c>
      <c r="B1369" s="10">
        <v>0</v>
      </c>
      <c r="C1369" s="9"/>
      <c r="D1369" s="9">
        <f t="shared" si="21"/>
        <v>0</v>
      </c>
      <c r="E1369" s="11"/>
      <c r="F1369" s="9" t="s">
        <v>7</v>
      </c>
    </row>
    <row r="1370" s="1" customFormat="1" customHeight="1" spans="1:6">
      <c r="A1370" s="9" t="str">
        <f>"10012104618"</f>
        <v>10012104618</v>
      </c>
      <c r="B1370" s="10">
        <v>40.47</v>
      </c>
      <c r="C1370" s="9"/>
      <c r="D1370" s="9">
        <f t="shared" si="21"/>
        <v>40.47</v>
      </c>
      <c r="E1370" s="11"/>
      <c r="F1370" s="9"/>
    </row>
    <row r="1371" s="1" customFormat="1" customHeight="1" spans="1:6">
      <c r="A1371" s="9" t="str">
        <f>"10412104619"</f>
        <v>10412104619</v>
      </c>
      <c r="B1371" s="10">
        <v>0</v>
      </c>
      <c r="C1371" s="9"/>
      <c r="D1371" s="9">
        <f t="shared" si="21"/>
        <v>0</v>
      </c>
      <c r="E1371" s="11"/>
      <c r="F1371" s="9" t="s">
        <v>7</v>
      </c>
    </row>
    <row r="1372" s="1" customFormat="1" customHeight="1" spans="1:6">
      <c r="A1372" s="9" t="str">
        <f>"10362104620"</f>
        <v>10362104620</v>
      </c>
      <c r="B1372" s="10">
        <v>50.97</v>
      </c>
      <c r="C1372" s="9"/>
      <c r="D1372" s="9">
        <f t="shared" si="21"/>
        <v>50.97</v>
      </c>
      <c r="E1372" s="11"/>
      <c r="F1372" s="9"/>
    </row>
    <row r="1373" s="1" customFormat="1" customHeight="1" spans="1:6">
      <c r="A1373" s="9" t="str">
        <f>"10362104621"</f>
        <v>10362104621</v>
      </c>
      <c r="B1373" s="10">
        <v>40.03</v>
      </c>
      <c r="C1373" s="9"/>
      <c r="D1373" s="9">
        <f t="shared" si="21"/>
        <v>40.03</v>
      </c>
      <c r="E1373" s="11"/>
      <c r="F1373" s="9"/>
    </row>
    <row r="1374" s="1" customFormat="1" customHeight="1" spans="1:6">
      <c r="A1374" s="9" t="str">
        <f>"10442104622"</f>
        <v>10442104622</v>
      </c>
      <c r="B1374" s="10">
        <v>41.24</v>
      </c>
      <c r="C1374" s="9"/>
      <c r="D1374" s="9">
        <f t="shared" si="21"/>
        <v>41.24</v>
      </c>
      <c r="E1374" s="11"/>
      <c r="F1374" s="9"/>
    </row>
    <row r="1375" s="1" customFormat="1" customHeight="1" spans="1:6">
      <c r="A1375" s="9" t="str">
        <f>"10182104623"</f>
        <v>10182104623</v>
      </c>
      <c r="B1375" s="10">
        <v>38.06</v>
      </c>
      <c r="C1375" s="9"/>
      <c r="D1375" s="9">
        <f t="shared" si="21"/>
        <v>38.06</v>
      </c>
      <c r="E1375" s="11"/>
      <c r="F1375" s="9"/>
    </row>
    <row r="1376" s="1" customFormat="1" customHeight="1" spans="1:6">
      <c r="A1376" s="9" t="str">
        <f>"10302104624"</f>
        <v>10302104624</v>
      </c>
      <c r="B1376" s="10">
        <v>46.04</v>
      </c>
      <c r="C1376" s="9"/>
      <c r="D1376" s="9">
        <f t="shared" si="21"/>
        <v>46.04</v>
      </c>
      <c r="E1376" s="11"/>
      <c r="F1376" s="9"/>
    </row>
    <row r="1377" s="1" customFormat="1" customHeight="1" spans="1:6">
      <c r="A1377" s="9" t="str">
        <f>"10022104625"</f>
        <v>10022104625</v>
      </c>
      <c r="B1377" s="10">
        <v>0</v>
      </c>
      <c r="C1377" s="9"/>
      <c r="D1377" s="9">
        <f t="shared" si="21"/>
        <v>0</v>
      </c>
      <c r="E1377" s="11"/>
      <c r="F1377" s="9" t="s">
        <v>7</v>
      </c>
    </row>
    <row r="1378" s="1" customFormat="1" customHeight="1" spans="1:6">
      <c r="A1378" s="9" t="str">
        <f>"10302104626"</f>
        <v>10302104626</v>
      </c>
      <c r="B1378" s="10">
        <v>41.13</v>
      </c>
      <c r="C1378" s="9"/>
      <c r="D1378" s="9">
        <f t="shared" si="21"/>
        <v>41.13</v>
      </c>
      <c r="E1378" s="11"/>
      <c r="F1378" s="9"/>
    </row>
    <row r="1379" s="1" customFormat="1" customHeight="1" spans="1:6">
      <c r="A1379" s="9" t="str">
        <f>"10122104627"</f>
        <v>10122104627</v>
      </c>
      <c r="B1379" s="10">
        <v>50.08</v>
      </c>
      <c r="C1379" s="9"/>
      <c r="D1379" s="9">
        <f t="shared" si="21"/>
        <v>50.08</v>
      </c>
      <c r="E1379" s="11"/>
      <c r="F1379" s="9"/>
    </row>
    <row r="1380" s="1" customFormat="1" customHeight="1" spans="1:6">
      <c r="A1380" s="9" t="str">
        <f>"10202104628"</f>
        <v>10202104628</v>
      </c>
      <c r="B1380" s="10">
        <v>47.62</v>
      </c>
      <c r="C1380" s="9"/>
      <c r="D1380" s="9">
        <f t="shared" si="21"/>
        <v>47.62</v>
      </c>
      <c r="E1380" s="11"/>
      <c r="F1380" s="9"/>
    </row>
    <row r="1381" s="1" customFormat="1" customHeight="1" spans="1:6">
      <c r="A1381" s="9" t="str">
        <f>"10362104629"</f>
        <v>10362104629</v>
      </c>
      <c r="B1381" s="10">
        <v>37.11</v>
      </c>
      <c r="C1381" s="9"/>
      <c r="D1381" s="9">
        <f t="shared" si="21"/>
        <v>37.11</v>
      </c>
      <c r="E1381" s="11"/>
      <c r="F1381" s="9"/>
    </row>
    <row r="1382" s="1" customFormat="1" customHeight="1" spans="1:6">
      <c r="A1382" s="9" t="str">
        <f>"10302104630"</f>
        <v>10302104630</v>
      </c>
      <c r="B1382" s="10">
        <v>43.6</v>
      </c>
      <c r="C1382" s="9"/>
      <c r="D1382" s="9">
        <f t="shared" si="21"/>
        <v>43.6</v>
      </c>
      <c r="E1382" s="11"/>
      <c r="F1382" s="9"/>
    </row>
    <row r="1383" s="1" customFormat="1" customHeight="1" spans="1:6">
      <c r="A1383" s="9" t="str">
        <f>"10212104701"</f>
        <v>10212104701</v>
      </c>
      <c r="B1383" s="10">
        <v>32.07</v>
      </c>
      <c r="C1383" s="9"/>
      <c r="D1383" s="9">
        <f t="shared" si="21"/>
        <v>32.07</v>
      </c>
      <c r="E1383" s="11"/>
      <c r="F1383" s="9"/>
    </row>
    <row r="1384" s="1" customFormat="1" customHeight="1" spans="1:6">
      <c r="A1384" s="9" t="str">
        <f>"10422104702"</f>
        <v>10422104702</v>
      </c>
      <c r="B1384" s="10">
        <v>46.74</v>
      </c>
      <c r="C1384" s="9"/>
      <c r="D1384" s="9">
        <f t="shared" si="21"/>
        <v>46.74</v>
      </c>
      <c r="E1384" s="11"/>
      <c r="F1384" s="9"/>
    </row>
    <row r="1385" s="1" customFormat="1" customHeight="1" spans="1:6">
      <c r="A1385" s="9" t="str">
        <f>"10282104703"</f>
        <v>10282104703</v>
      </c>
      <c r="B1385" s="10">
        <v>37.76</v>
      </c>
      <c r="C1385" s="9"/>
      <c r="D1385" s="9">
        <f t="shared" si="21"/>
        <v>37.76</v>
      </c>
      <c r="E1385" s="11"/>
      <c r="F1385" s="9"/>
    </row>
    <row r="1386" s="1" customFormat="1" customHeight="1" spans="1:6">
      <c r="A1386" s="9" t="str">
        <f>"10532104704"</f>
        <v>10532104704</v>
      </c>
      <c r="B1386" s="10">
        <v>44.07</v>
      </c>
      <c r="C1386" s="9"/>
      <c r="D1386" s="9">
        <f t="shared" si="21"/>
        <v>44.07</v>
      </c>
      <c r="E1386" s="11"/>
      <c r="F1386" s="9"/>
    </row>
    <row r="1387" s="1" customFormat="1" customHeight="1" spans="1:6">
      <c r="A1387" s="9" t="str">
        <f>"20272104705"</f>
        <v>20272104705</v>
      </c>
      <c r="B1387" s="10">
        <v>40.49</v>
      </c>
      <c r="C1387" s="9"/>
      <c r="D1387" s="9">
        <f t="shared" si="21"/>
        <v>40.49</v>
      </c>
      <c r="E1387" s="11"/>
      <c r="F1387" s="9"/>
    </row>
    <row r="1388" s="1" customFormat="1" customHeight="1" spans="1:6">
      <c r="A1388" s="9" t="str">
        <f>"10532104706"</f>
        <v>10532104706</v>
      </c>
      <c r="B1388" s="10">
        <v>39.89</v>
      </c>
      <c r="C1388" s="9"/>
      <c r="D1388" s="9">
        <f t="shared" si="21"/>
        <v>39.89</v>
      </c>
      <c r="E1388" s="11"/>
      <c r="F1388" s="9"/>
    </row>
    <row r="1389" s="1" customFormat="1" customHeight="1" spans="1:6">
      <c r="A1389" s="9" t="str">
        <f>"10062104707"</f>
        <v>10062104707</v>
      </c>
      <c r="B1389" s="10">
        <v>37.96</v>
      </c>
      <c r="C1389" s="9"/>
      <c r="D1389" s="9">
        <f t="shared" si="21"/>
        <v>37.96</v>
      </c>
      <c r="E1389" s="11"/>
      <c r="F1389" s="9"/>
    </row>
    <row r="1390" s="1" customFormat="1" customHeight="1" spans="1:6">
      <c r="A1390" s="9" t="str">
        <f>"10232104708"</f>
        <v>10232104708</v>
      </c>
      <c r="B1390" s="10">
        <v>45.04</v>
      </c>
      <c r="C1390" s="9"/>
      <c r="D1390" s="9">
        <f t="shared" si="21"/>
        <v>45.04</v>
      </c>
      <c r="E1390" s="11"/>
      <c r="F1390" s="9"/>
    </row>
    <row r="1391" s="1" customFormat="1" customHeight="1" spans="1:6">
      <c r="A1391" s="9" t="str">
        <f>"10122104709"</f>
        <v>10122104709</v>
      </c>
      <c r="B1391" s="10">
        <v>37.35</v>
      </c>
      <c r="C1391" s="9"/>
      <c r="D1391" s="9">
        <f t="shared" si="21"/>
        <v>37.35</v>
      </c>
      <c r="E1391" s="11"/>
      <c r="F1391" s="9"/>
    </row>
    <row r="1392" s="1" customFormat="1" customHeight="1" spans="1:6">
      <c r="A1392" s="9" t="str">
        <f>"10092104710"</f>
        <v>10092104710</v>
      </c>
      <c r="B1392" s="10">
        <v>47.75</v>
      </c>
      <c r="C1392" s="9"/>
      <c r="D1392" s="9">
        <f t="shared" si="21"/>
        <v>47.75</v>
      </c>
      <c r="E1392" s="11"/>
      <c r="F1392" s="9"/>
    </row>
    <row r="1393" s="1" customFormat="1" customHeight="1" spans="1:6">
      <c r="A1393" s="9" t="str">
        <f>"10102104711"</f>
        <v>10102104711</v>
      </c>
      <c r="B1393" s="10">
        <v>0</v>
      </c>
      <c r="C1393" s="9"/>
      <c r="D1393" s="9">
        <f t="shared" si="21"/>
        <v>0</v>
      </c>
      <c r="E1393" s="11"/>
      <c r="F1393" s="9" t="s">
        <v>7</v>
      </c>
    </row>
    <row r="1394" s="1" customFormat="1" customHeight="1" spans="1:6">
      <c r="A1394" s="9" t="str">
        <f>"10122104712"</f>
        <v>10122104712</v>
      </c>
      <c r="B1394" s="10">
        <v>0</v>
      </c>
      <c r="C1394" s="9">
        <v>10</v>
      </c>
      <c r="D1394" s="9">
        <f t="shared" si="21"/>
        <v>10</v>
      </c>
      <c r="E1394" s="12" t="s">
        <v>8</v>
      </c>
      <c r="F1394" s="9" t="s">
        <v>7</v>
      </c>
    </row>
    <row r="1395" s="1" customFormat="1" customHeight="1" spans="1:6">
      <c r="A1395" s="9" t="str">
        <f>"10332104713"</f>
        <v>10332104713</v>
      </c>
      <c r="B1395" s="10">
        <v>43.96</v>
      </c>
      <c r="C1395" s="9"/>
      <c r="D1395" s="9">
        <f t="shared" si="21"/>
        <v>43.96</v>
      </c>
      <c r="E1395" s="11"/>
      <c r="F1395" s="9"/>
    </row>
    <row r="1396" s="1" customFormat="1" customHeight="1" spans="1:6">
      <c r="A1396" s="9" t="str">
        <f>"10332104714"</f>
        <v>10332104714</v>
      </c>
      <c r="B1396" s="10">
        <v>36.71</v>
      </c>
      <c r="C1396" s="9"/>
      <c r="D1396" s="9">
        <f t="shared" si="21"/>
        <v>36.71</v>
      </c>
      <c r="E1396" s="11"/>
      <c r="F1396" s="9"/>
    </row>
    <row r="1397" s="1" customFormat="1" customHeight="1" spans="1:6">
      <c r="A1397" s="9" t="str">
        <f>"10212104715"</f>
        <v>10212104715</v>
      </c>
      <c r="B1397" s="10">
        <v>0</v>
      </c>
      <c r="C1397" s="9"/>
      <c r="D1397" s="9">
        <f t="shared" si="21"/>
        <v>0</v>
      </c>
      <c r="E1397" s="11"/>
      <c r="F1397" s="9" t="s">
        <v>7</v>
      </c>
    </row>
    <row r="1398" s="1" customFormat="1" customHeight="1" spans="1:6">
      <c r="A1398" s="9" t="str">
        <f>"10052104716"</f>
        <v>10052104716</v>
      </c>
      <c r="B1398" s="10">
        <v>42.36</v>
      </c>
      <c r="C1398" s="9"/>
      <c r="D1398" s="9">
        <f t="shared" si="21"/>
        <v>42.36</v>
      </c>
      <c r="E1398" s="11"/>
      <c r="F1398" s="9"/>
    </row>
    <row r="1399" s="1" customFormat="1" customHeight="1" spans="1:6">
      <c r="A1399" s="9" t="str">
        <f>"10232104717"</f>
        <v>10232104717</v>
      </c>
      <c r="B1399" s="10">
        <v>39.23</v>
      </c>
      <c r="C1399" s="9"/>
      <c r="D1399" s="9">
        <f t="shared" si="21"/>
        <v>39.23</v>
      </c>
      <c r="E1399" s="11"/>
      <c r="F1399" s="9"/>
    </row>
    <row r="1400" s="1" customFormat="1" customHeight="1" spans="1:6">
      <c r="A1400" s="9" t="str">
        <f>"10292104718"</f>
        <v>10292104718</v>
      </c>
      <c r="B1400" s="10">
        <v>0</v>
      </c>
      <c r="C1400" s="9"/>
      <c r="D1400" s="9">
        <f t="shared" si="21"/>
        <v>0</v>
      </c>
      <c r="E1400" s="11"/>
      <c r="F1400" s="9" t="s">
        <v>7</v>
      </c>
    </row>
    <row r="1401" s="1" customFormat="1" customHeight="1" spans="1:6">
      <c r="A1401" s="9" t="str">
        <f>"10532104719"</f>
        <v>10532104719</v>
      </c>
      <c r="B1401" s="10">
        <v>0</v>
      </c>
      <c r="C1401" s="9"/>
      <c r="D1401" s="9">
        <f t="shared" si="21"/>
        <v>0</v>
      </c>
      <c r="E1401" s="11"/>
      <c r="F1401" s="9" t="s">
        <v>7</v>
      </c>
    </row>
    <row r="1402" s="1" customFormat="1" customHeight="1" spans="1:6">
      <c r="A1402" s="9" t="str">
        <f>"10182104720"</f>
        <v>10182104720</v>
      </c>
      <c r="B1402" s="10">
        <v>37.72</v>
      </c>
      <c r="C1402" s="9"/>
      <c r="D1402" s="9">
        <f t="shared" si="21"/>
        <v>37.72</v>
      </c>
      <c r="E1402" s="11"/>
      <c r="F1402" s="9"/>
    </row>
    <row r="1403" s="1" customFormat="1" customHeight="1" spans="1:6">
      <c r="A1403" s="9" t="str">
        <f>"10412104721"</f>
        <v>10412104721</v>
      </c>
      <c r="B1403" s="10">
        <v>38.72</v>
      </c>
      <c r="C1403" s="9"/>
      <c r="D1403" s="9">
        <f t="shared" si="21"/>
        <v>38.72</v>
      </c>
      <c r="E1403" s="11"/>
      <c r="F1403" s="9"/>
    </row>
    <row r="1404" s="1" customFormat="1" customHeight="1" spans="1:6">
      <c r="A1404" s="9" t="str">
        <f>"10402104722"</f>
        <v>10402104722</v>
      </c>
      <c r="B1404" s="10">
        <v>0</v>
      </c>
      <c r="C1404" s="9"/>
      <c r="D1404" s="9">
        <f t="shared" si="21"/>
        <v>0</v>
      </c>
      <c r="E1404" s="11"/>
      <c r="F1404" s="9" t="s">
        <v>7</v>
      </c>
    </row>
    <row r="1405" s="1" customFormat="1" customHeight="1" spans="1:6">
      <c r="A1405" s="9" t="str">
        <f>"10532104723"</f>
        <v>10532104723</v>
      </c>
      <c r="B1405" s="10">
        <v>37.44</v>
      </c>
      <c r="C1405" s="9"/>
      <c r="D1405" s="9">
        <f t="shared" si="21"/>
        <v>37.44</v>
      </c>
      <c r="E1405" s="11"/>
      <c r="F1405" s="9"/>
    </row>
    <row r="1406" s="1" customFormat="1" customHeight="1" spans="1:6">
      <c r="A1406" s="9" t="str">
        <f>"10062104724"</f>
        <v>10062104724</v>
      </c>
      <c r="B1406" s="10">
        <v>38.56</v>
      </c>
      <c r="C1406" s="9"/>
      <c r="D1406" s="9">
        <f t="shared" si="21"/>
        <v>38.56</v>
      </c>
      <c r="E1406" s="11"/>
      <c r="F1406" s="9"/>
    </row>
    <row r="1407" s="1" customFormat="1" customHeight="1" spans="1:6">
      <c r="A1407" s="9" t="str">
        <f>"10362104725"</f>
        <v>10362104725</v>
      </c>
      <c r="B1407" s="10">
        <v>0</v>
      </c>
      <c r="C1407" s="9"/>
      <c r="D1407" s="9">
        <f t="shared" si="21"/>
        <v>0</v>
      </c>
      <c r="E1407" s="11"/>
      <c r="F1407" s="9" t="s">
        <v>7</v>
      </c>
    </row>
    <row r="1408" s="1" customFormat="1" customHeight="1" spans="1:6">
      <c r="A1408" s="9" t="str">
        <f>"10302104726"</f>
        <v>10302104726</v>
      </c>
      <c r="B1408" s="10">
        <v>40.82</v>
      </c>
      <c r="C1408" s="9"/>
      <c r="D1408" s="9">
        <f t="shared" si="21"/>
        <v>40.82</v>
      </c>
      <c r="E1408" s="11"/>
      <c r="F1408" s="9"/>
    </row>
    <row r="1409" s="1" customFormat="1" customHeight="1" spans="1:6">
      <c r="A1409" s="9" t="str">
        <f>"10232104727"</f>
        <v>10232104727</v>
      </c>
      <c r="B1409" s="10">
        <v>36.13</v>
      </c>
      <c r="C1409" s="9"/>
      <c r="D1409" s="9">
        <f t="shared" si="21"/>
        <v>36.13</v>
      </c>
      <c r="E1409" s="11"/>
      <c r="F1409" s="9"/>
    </row>
    <row r="1410" s="1" customFormat="1" customHeight="1" spans="1:6">
      <c r="A1410" s="9" t="str">
        <f>"10512104728"</f>
        <v>10512104728</v>
      </c>
      <c r="B1410" s="10">
        <v>0</v>
      </c>
      <c r="C1410" s="9"/>
      <c r="D1410" s="9">
        <f t="shared" si="21"/>
        <v>0</v>
      </c>
      <c r="E1410" s="11"/>
      <c r="F1410" s="9" t="s">
        <v>7</v>
      </c>
    </row>
    <row r="1411" s="1" customFormat="1" customHeight="1" spans="1:6">
      <c r="A1411" s="9" t="str">
        <f>"10102104729"</f>
        <v>10102104729</v>
      </c>
      <c r="B1411" s="10">
        <v>40.38</v>
      </c>
      <c r="C1411" s="9"/>
      <c r="D1411" s="9">
        <f t="shared" ref="D1411:D1474" si="22">SUM(B1411:C1411)</f>
        <v>40.38</v>
      </c>
      <c r="E1411" s="11"/>
      <c r="F1411" s="9"/>
    </row>
    <row r="1412" s="1" customFormat="1" customHeight="1" spans="1:6">
      <c r="A1412" s="9" t="str">
        <f>"10362104730"</f>
        <v>10362104730</v>
      </c>
      <c r="B1412" s="10">
        <v>0</v>
      </c>
      <c r="C1412" s="9"/>
      <c r="D1412" s="9">
        <f t="shared" si="22"/>
        <v>0</v>
      </c>
      <c r="E1412" s="11"/>
      <c r="F1412" s="9" t="s">
        <v>7</v>
      </c>
    </row>
    <row r="1413" s="1" customFormat="1" customHeight="1" spans="1:6">
      <c r="A1413" s="9" t="str">
        <f>"10512104801"</f>
        <v>10512104801</v>
      </c>
      <c r="B1413" s="10">
        <v>0</v>
      </c>
      <c r="C1413" s="9"/>
      <c r="D1413" s="9">
        <f t="shared" si="22"/>
        <v>0</v>
      </c>
      <c r="E1413" s="11"/>
      <c r="F1413" s="9" t="s">
        <v>7</v>
      </c>
    </row>
    <row r="1414" s="1" customFormat="1" customHeight="1" spans="1:6">
      <c r="A1414" s="9" t="str">
        <f>"10362104802"</f>
        <v>10362104802</v>
      </c>
      <c r="B1414" s="10">
        <v>0</v>
      </c>
      <c r="C1414" s="9"/>
      <c r="D1414" s="9">
        <f t="shared" si="22"/>
        <v>0</v>
      </c>
      <c r="E1414" s="11"/>
      <c r="F1414" s="9" t="s">
        <v>7</v>
      </c>
    </row>
    <row r="1415" s="1" customFormat="1" customHeight="1" spans="1:6">
      <c r="A1415" s="9" t="str">
        <f>"10062104803"</f>
        <v>10062104803</v>
      </c>
      <c r="B1415" s="10">
        <v>44.38</v>
      </c>
      <c r="C1415" s="9"/>
      <c r="D1415" s="9">
        <f t="shared" si="22"/>
        <v>44.38</v>
      </c>
      <c r="E1415" s="11"/>
      <c r="F1415" s="9"/>
    </row>
    <row r="1416" s="1" customFormat="1" customHeight="1" spans="1:6">
      <c r="A1416" s="9" t="str">
        <f>"10202104804"</f>
        <v>10202104804</v>
      </c>
      <c r="B1416" s="10">
        <v>0</v>
      </c>
      <c r="C1416" s="9"/>
      <c r="D1416" s="9">
        <f t="shared" si="22"/>
        <v>0</v>
      </c>
      <c r="E1416" s="11"/>
      <c r="F1416" s="9" t="s">
        <v>7</v>
      </c>
    </row>
    <row r="1417" s="1" customFormat="1" customHeight="1" spans="1:6">
      <c r="A1417" s="9" t="str">
        <f>"10292104805"</f>
        <v>10292104805</v>
      </c>
      <c r="B1417" s="10">
        <v>41.62</v>
      </c>
      <c r="C1417" s="9"/>
      <c r="D1417" s="9">
        <f t="shared" si="22"/>
        <v>41.62</v>
      </c>
      <c r="E1417" s="11"/>
      <c r="F1417" s="9"/>
    </row>
    <row r="1418" s="1" customFormat="1" customHeight="1" spans="1:6">
      <c r="A1418" s="9" t="str">
        <f>"10212104806"</f>
        <v>10212104806</v>
      </c>
      <c r="B1418" s="10">
        <v>43.34</v>
      </c>
      <c r="C1418" s="9"/>
      <c r="D1418" s="9">
        <f t="shared" si="22"/>
        <v>43.34</v>
      </c>
      <c r="E1418" s="11"/>
      <c r="F1418" s="9"/>
    </row>
    <row r="1419" s="1" customFormat="1" customHeight="1" spans="1:6">
      <c r="A1419" s="9" t="str">
        <f>"10112104807"</f>
        <v>10112104807</v>
      </c>
      <c r="B1419" s="10">
        <v>55.55</v>
      </c>
      <c r="C1419" s="9"/>
      <c r="D1419" s="9">
        <f t="shared" si="22"/>
        <v>55.55</v>
      </c>
      <c r="E1419" s="11"/>
      <c r="F1419" s="9"/>
    </row>
    <row r="1420" s="1" customFormat="1" customHeight="1" spans="1:6">
      <c r="A1420" s="9" t="str">
        <f>"10532104808"</f>
        <v>10532104808</v>
      </c>
      <c r="B1420" s="10">
        <v>0</v>
      </c>
      <c r="C1420" s="9"/>
      <c r="D1420" s="9">
        <f t="shared" si="22"/>
        <v>0</v>
      </c>
      <c r="E1420" s="11"/>
      <c r="F1420" s="9" t="s">
        <v>7</v>
      </c>
    </row>
    <row r="1421" s="1" customFormat="1" customHeight="1" spans="1:6">
      <c r="A1421" s="9" t="str">
        <f>"10512104809"</f>
        <v>10512104809</v>
      </c>
      <c r="B1421" s="10">
        <v>0</v>
      </c>
      <c r="C1421" s="9"/>
      <c r="D1421" s="9">
        <f t="shared" si="22"/>
        <v>0</v>
      </c>
      <c r="E1421" s="11"/>
      <c r="F1421" s="9" t="s">
        <v>7</v>
      </c>
    </row>
    <row r="1422" s="1" customFormat="1" customHeight="1" spans="1:6">
      <c r="A1422" s="9" t="str">
        <f>"10362104810"</f>
        <v>10362104810</v>
      </c>
      <c r="B1422" s="10">
        <v>45.53</v>
      </c>
      <c r="C1422" s="9"/>
      <c r="D1422" s="9">
        <f t="shared" si="22"/>
        <v>45.53</v>
      </c>
      <c r="E1422" s="11"/>
      <c r="F1422" s="9"/>
    </row>
    <row r="1423" s="1" customFormat="1" customHeight="1" spans="1:6">
      <c r="A1423" s="9" t="str">
        <f>"10512104811"</f>
        <v>10512104811</v>
      </c>
      <c r="B1423" s="10">
        <v>31.69</v>
      </c>
      <c r="C1423" s="9"/>
      <c r="D1423" s="9">
        <f t="shared" si="22"/>
        <v>31.69</v>
      </c>
      <c r="E1423" s="11"/>
      <c r="F1423" s="9"/>
    </row>
    <row r="1424" s="1" customFormat="1" customHeight="1" spans="1:6">
      <c r="A1424" s="9" t="str">
        <f>"10172104812"</f>
        <v>10172104812</v>
      </c>
      <c r="B1424" s="10">
        <v>34.5</v>
      </c>
      <c r="C1424" s="9"/>
      <c r="D1424" s="9">
        <f t="shared" si="22"/>
        <v>34.5</v>
      </c>
      <c r="E1424" s="11"/>
      <c r="F1424" s="9"/>
    </row>
    <row r="1425" s="1" customFormat="1" customHeight="1" spans="1:6">
      <c r="A1425" s="9" t="str">
        <f>"10532104813"</f>
        <v>10532104813</v>
      </c>
      <c r="B1425" s="10">
        <v>0</v>
      </c>
      <c r="C1425" s="9"/>
      <c r="D1425" s="9">
        <f t="shared" si="22"/>
        <v>0</v>
      </c>
      <c r="E1425" s="11"/>
      <c r="F1425" s="9" t="s">
        <v>7</v>
      </c>
    </row>
    <row r="1426" s="1" customFormat="1" customHeight="1" spans="1:6">
      <c r="A1426" s="9" t="str">
        <f>"10332104814"</f>
        <v>10332104814</v>
      </c>
      <c r="B1426" s="10">
        <v>0</v>
      </c>
      <c r="C1426" s="9"/>
      <c r="D1426" s="9">
        <f t="shared" si="22"/>
        <v>0</v>
      </c>
      <c r="E1426" s="11"/>
      <c r="F1426" s="9" t="s">
        <v>7</v>
      </c>
    </row>
    <row r="1427" s="1" customFormat="1" customHeight="1" spans="1:6">
      <c r="A1427" s="9" t="str">
        <f>"10332104815"</f>
        <v>10332104815</v>
      </c>
      <c r="B1427" s="10">
        <v>42.67</v>
      </c>
      <c r="C1427" s="9"/>
      <c r="D1427" s="9">
        <f t="shared" si="22"/>
        <v>42.67</v>
      </c>
      <c r="E1427" s="11"/>
      <c r="F1427" s="9"/>
    </row>
    <row r="1428" s="1" customFormat="1" customHeight="1" spans="1:6">
      <c r="A1428" s="9" t="str">
        <f>"10512104816"</f>
        <v>10512104816</v>
      </c>
      <c r="B1428" s="10">
        <v>53.42</v>
      </c>
      <c r="C1428" s="9"/>
      <c r="D1428" s="9">
        <f t="shared" si="22"/>
        <v>53.42</v>
      </c>
      <c r="E1428" s="11"/>
      <c r="F1428" s="9"/>
    </row>
    <row r="1429" s="1" customFormat="1" customHeight="1" spans="1:6">
      <c r="A1429" s="9" t="str">
        <f>"10402104817"</f>
        <v>10402104817</v>
      </c>
      <c r="B1429" s="10">
        <v>40.8</v>
      </c>
      <c r="C1429" s="9"/>
      <c r="D1429" s="9">
        <f t="shared" si="22"/>
        <v>40.8</v>
      </c>
      <c r="E1429" s="11"/>
      <c r="F1429" s="9"/>
    </row>
    <row r="1430" s="1" customFormat="1" customHeight="1" spans="1:6">
      <c r="A1430" s="9" t="str">
        <f>"10412104818"</f>
        <v>10412104818</v>
      </c>
      <c r="B1430" s="10">
        <v>0</v>
      </c>
      <c r="C1430" s="9"/>
      <c r="D1430" s="9">
        <f t="shared" si="22"/>
        <v>0</v>
      </c>
      <c r="E1430" s="11"/>
      <c r="F1430" s="9" t="s">
        <v>7</v>
      </c>
    </row>
    <row r="1431" s="1" customFormat="1" customHeight="1" spans="1:6">
      <c r="A1431" s="9" t="str">
        <f>"10292104819"</f>
        <v>10292104819</v>
      </c>
      <c r="B1431" s="10">
        <v>38.87</v>
      </c>
      <c r="C1431" s="9"/>
      <c r="D1431" s="9">
        <f t="shared" si="22"/>
        <v>38.87</v>
      </c>
      <c r="E1431" s="11"/>
      <c r="F1431" s="9"/>
    </row>
    <row r="1432" s="1" customFormat="1" customHeight="1" spans="1:6">
      <c r="A1432" s="9" t="str">
        <f>"10362104820"</f>
        <v>10362104820</v>
      </c>
      <c r="B1432" s="10">
        <v>0</v>
      </c>
      <c r="C1432" s="9"/>
      <c r="D1432" s="9">
        <f t="shared" si="22"/>
        <v>0</v>
      </c>
      <c r="E1432" s="11"/>
      <c r="F1432" s="9" t="s">
        <v>7</v>
      </c>
    </row>
    <row r="1433" s="1" customFormat="1" customHeight="1" spans="1:6">
      <c r="A1433" s="9" t="str">
        <f>"10092104821"</f>
        <v>10092104821</v>
      </c>
      <c r="B1433" s="10">
        <v>0</v>
      </c>
      <c r="C1433" s="9"/>
      <c r="D1433" s="9">
        <f t="shared" si="22"/>
        <v>0</v>
      </c>
      <c r="E1433" s="11"/>
      <c r="F1433" s="9" t="s">
        <v>7</v>
      </c>
    </row>
    <row r="1434" s="1" customFormat="1" customHeight="1" spans="1:6">
      <c r="A1434" s="9" t="str">
        <f>"10162104822"</f>
        <v>10162104822</v>
      </c>
      <c r="B1434" s="10">
        <v>0</v>
      </c>
      <c r="C1434" s="9"/>
      <c r="D1434" s="9">
        <f t="shared" si="22"/>
        <v>0</v>
      </c>
      <c r="E1434" s="11"/>
      <c r="F1434" s="9" t="s">
        <v>7</v>
      </c>
    </row>
    <row r="1435" s="1" customFormat="1" customHeight="1" spans="1:6">
      <c r="A1435" s="9" t="str">
        <f>"10362104823"</f>
        <v>10362104823</v>
      </c>
      <c r="B1435" s="10">
        <v>33.83</v>
      </c>
      <c r="C1435" s="9"/>
      <c r="D1435" s="9">
        <f t="shared" si="22"/>
        <v>33.83</v>
      </c>
      <c r="E1435" s="11"/>
      <c r="F1435" s="9"/>
    </row>
    <row r="1436" s="1" customFormat="1" customHeight="1" spans="1:6">
      <c r="A1436" s="9" t="str">
        <f>"20182104824"</f>
        <v>20182104824</v>
      </c>
      <c r="B1436" s="10">
        <v>0</v>
      </c>
      <c r="C1436" s="9"/>
      <c r="D1436" s="9">
        <f t="shared" si="22"/>
        <v>0</v>
      </c>
      <c r="E1436" s="11"/>
      <c r="F1436" s="9" t="s">
        <v>7</v>
      </c>
    </row>
    <row r="1437" s="1" customFormat="1" customHeight="1" spans="1:6">
      <c r="A1437" s="9" t="str">
        <f>"10512104825"</f>
        <v>10512104825</v>
      </c>
      <c r="B1437" s="10">
        <v>0</v>
      </c>
      <c r="C1437" s="9"/>
      <c r="D1437" s="9">
        <f t="shared" si="22"/>
        <v>0</v>
      </c>
      <c r="E1437" s="11"/>
      <c r="F1437" s="9" t="s">
        <v>7</v>
      </c>
    </row>
    <row r="1438" s="1" customFormat="1" customHeight="1" spans="1:6">
      <c r="A1438" s="9" t="str">
        <f>"10382104826"</f>
        <v>10382104826</v>
      </c>
      <c r="B1438" s="10">
        <v>36.07</v>
      </c>
      <c r="C1438" s="9"/>
      <c r="D1438" s="9">
        <f t="shared" si="22"/>
        <v>36.07</v>
      </c>
      <c r="E1438" s="11"/>
      <c r="F1438" s="9"/>
    </row>
    <row r="1439" s="1" customFormat="1" customHeight="1" spans="1:6">
      <c r="A1439" s="9" t="str">
        <f>"10142104827"</f>
        <v>10142104827</v>
      </c>
      <c r="B1439" s="10">
        <v>41.27</v>
      </c>
      <c r="C1439" s="9">
        <v>10</v>
      </c>
      <c r="D1439" s="9">
        <f t="shared" si="22"/>
        <v>51.27</v>
      </c>
      <c r="E1439" s="12" t="s">
        <v>8</v>
      </c>
      <c r="F1439" s="9"/>
    </row>
    <row r="1440" s="1" customFormat="1" customHeight="1" spans="1:6">
      <c r="A1440" s="9" t="str">
        <f>"10522104828"</f>
        <v>10522104828</v>
      </c>
      <c r="B1440" s="10">
        <v>44.17</v>
      </c>
      <c r="C1440" s="9"/>
      <c r="D1440" s="9">
        <f t="shared" si="22"/>
        <v>44.17</v>
      </c>
      <c r="E1440" s="11"/>
      <c r="F1440" s="9"/>
    </row>
    <row r="1441" s="1" customFormat="1" customHeight="1" spans="1:6">
      <c r="A1441" s="9" t="str">
        <f>"10522104829"</f>
        <v>10522104829</v>
      </c>
      <c r="B1441" s="10">
        <v>0</v>
      </c>
      <c r="C1441" s="9"/>
      <c r="D1441" s="9">
        <f t="shared" si="22"/>
        <v>0</v>
      </c>
      <c r="E1441" s="11"/>
      <c r="F1441" s="9" t="s">
        <v>7</v>
      </c>
    </row>
    <row r="1442" s="1" customFormat="1" customHeight="1" spans="1:6">
      <c r="A1442" s="9" t="str">
        <f>"10322104830"</f>
        <v>10322104830</v>
      </c>
      <c r="B1442" s="10">
        <v>35.88</v>
      </c>
      <c r="C1442" s="9"/>
      <c r="D1442" s="9">
        <f t="shared" si="22"/>
        <v>35.88</v>
      </c>
      <c r="E1442" s="11"/>
      <c r="F1442" s="9"/>
    </row>
    <row r="1443" s="1" customFormat="1" customHeight="1" spans="1:6">
      <c r="A1443" s="9" t="str">
        <f>"10362104901"</f>
        <v>10362104901</v>
      </c>
      <c r="B1443" s="10">
        <v>0</v>
      </c>
      <c r="C1443" s="9"/>
      <c r="D1443" s="9">
        <f t="shared" si="22"/>
        <v>0</v>
      </c>
      <c r="E1443" s="11"/>
      <c r="F1443" s="9" t="s">
        <v>7</v>
      </c>
    </row>
    <row r="1444" s="1" customFormat="1" customHeight="1" spans="1:6">
      <c r="A1444" s="9" t="str">
        <f>"10362104902"</f>
        <v>10362104902</v>
      </c>
      <c r="B1444" s="10">
        <v>44.24</v>
      </c>
      <c r="C1444" s="9"/>
      <c r="D1444" s="9">
        <f t="shared" si="22"/>
        <v>44.24</v>
      </c>
      <c r="E1444" s="11"/>
      <c r="F1444" s="9"/>
    </row>
    <row r="1445" s="1" customFormat="1" customHeight="1" spans="1:6">
      <c r="A1445" s="9" t="str">
        <f>"10172104903"</f>
        <v>10172104903</v>
      </c>
      <c r="B1445" s="10">
        <v>38.89</v>
      </c>
      <c r="C1445" s="9"/>
      <c r="D1445" s="9">
        <f t="shared" si="22"/>
        <v>38.89</v>
      </c>
      <c r="E1445" s="11"/>
      <c r="F1445" s="9"/>
    </row>
    <row r="1446" s="1" customFormat="1" customHeight="1" spans="1:6">
      <c r="A1446" s="9" t="str">
        <f>"10362104904"</f>
        <v>10362104904</v>
      </c>
      <c r="B1446" s="10">
        <v>40.05</v>
      </c>
      <c r="C1446" s="9"/>
      <c r="D1446" s="9">
        <f t="shared" si="22"/>
        <v>40.05</v>
      </c>
      <c r="E1446" s="11"/>
      <c r="F1446" s="9"/>
    </row>
    <row r="1447" s="1" customFormat="1" customHeight="1" spans="1:6">
      <c r="A1447" s="9" t="str">
        <f>"10382104905"</f>
        <v>10382104905</v>
      </c>
      <c r="B1447" s="10">
        <v>0</v>
      </c>
      <c r="C1447" s="9"/>
      <c r="D1447" s="9">
        <f t="shared" si="22"/>
        <v>0</v>
      </c>
      <c r="E1447" s="11"/>
      <c r="F1447" s="9" t="s">
        <v>7</v>
      </c>
    </row>
    <row r="1448" s="1" customFormat="1" customHeight="1" spans="1:6">
      <c r="A1448" s="9" t="str">
        <f>"10532104906"</f>
        <v>10532104906</v>
      </c>
      <c r="B1448" s="10">
        <v>0</v>
      </c>
      <c r="C1448" s="9"/>
      <c r="D1448" s="9">
        <f t="shared" si="22"/>
        <v>0</v>
      </c>
      <c r="E1448" s="11"/>
      <c r="F1448" s="9" t="s">
        <v>7</v>
      </c>
    </row>
    <row r="1449" s="1" customFormat="1" customHeight="1" spans="1:6">
      <c r="A1449" s="9" t="str">
        <f>"10482104907"</f>
        <v>10482104907</v>
      </c>
      <c r="B1449" s="10">
        <v>42.99</v>
      </c>
      <c r="C1449" s="9"/>
      <c r="D1449" s="9">
        <f t="shared" si="22"/>
        <v>42.99</v>
      </c>
      <c r="E1449" s="11"/>
      <c r="F1449" s="9"/>
    </row>
    <row r="1450" s="1" customFormat="1" customHeight="1" spans="1:6">
      <c r="A1450" s="9" t="str">
        <f>"10292104908"</f>
        <v>10292104908</v>
      </c>
      <c r="B1450" s="10">
        <v>36.37</v>
      </c>
      <c r="C1450" s="9"/>
      <c r="D1450" s="9">
        <f t="shared" si="22"/>
        <v>36.37</v>
      </c>
      <c r="E1450" s="11"/>
      <c r="F1450" s="9"/>
    </row>
    <row r="1451" s="1" customFormat="1" customHeight="1" spans="1:6">
      <c r="A1451" s="9" t="str">
        <f>"10302104909"</f>
        <v>10302104909</v>
      </c>
      <c r="B1451" s="10">
        <v>0</v>
      </c>
      <c r="C1451" s="9"/>
      <c r="D1451" s="9">
        <f t="shared" si="22"/>
        <v>0</v>
      </c>
      <c r="E1451" s="11"/>
      <c r="F1451" s="9" t="s">
        <v>7</v>
      </c>
    </row>
    <row r="1452" s="1" customFormat="1" customHeight="1" spans="1:6">
      <c r="A1452" s="9" t="str">
        <f>"10082104910"</f>
        <v>10082104910</v>
      </c>
      <c r="B1452" s="10">
        <v>44.02</v>
      </c>
      <c r="C1452" s="9"/>
      <c r="D1452" s="9">
        <f t="shared" si="22"/>
        <v>44.02</v>
      </c>
      <c r="E1452" s="11"/>
      <c r="F1452" s="9"/>
    </row>
    <row r="1453" s="1" customFormat="1" customHeight="1" spans="1:6">
      <c r="A1453" s="9" t="str">
        <f>"10322104911"</f>
        <v>10322104911</v>
      </c>
      <c r="B1453" s="10">
        <v>45.33</v>
      </c>
      <c r="C1453" s="9"/>
      <c r="D1453" s="9">
        <f t="shared" si="22"/>
        <v>45.33</v>
      </c>
      <c r="E1453" s="11"/>
      <c r="F1453" s="9"/>
    </row>
    <row r="1454" s="1" customFormat="1" customHeight="1" spans="1:6">
      <c r="A1454" s="9" t="str">
        <f>"10332104912"</f>
        <v>10332104912</v>
      </c>
      <c r="B1454" s="10">
        <v>0</v>
      </c>
      <c r="C1454" s="9"/>
      <c r="D1454" s="9">
        <f t="shared" si="22"/>
        <v>0</v>
      </c>
      <c r="E1454" s="11"/>
      <c r="F1454" s="9" t="s">
        <v>7</v>
      </c>
    </row>
    <row r="1455" s="1" customFormat="1" customHeight="1" spans="1:6">
      <c r="A1455" s="9" t="str">
        <f>"10532104913"</f>
        <v>10532104913</v>
      </c>
      <c r="B1455" s="10">
        <v>29.55</v>
      </c>
      <c r="C1455" s="9"/>
      <c r="D1455" s="9">
        <f t="shared" si="22"/>
        <v>29.55</v>
      </c>
      <c r="E1455" s="11"/>
      <c r="F1455" s="9"/>
    </row>
    <row r="1456" s="1" customFormat="1" customHeight="1" spans="1:6">
      <c r="A1456" s="9" t="str">
        <f>"10362104914"</f>
        <v>10362104914</v>
      </c>
      <c r="B1456" s="10">
        <v>40.48</v>
      </c>
      <c r="C1456" s="9"/>
      <c r="D1456" s="9">
        <f t="shared" si="22"/>
        <v>40.48</v>
      </c>
      <c r="E1456" s="11"/>
      <c r="F1456" s="9"/>
    </row>
    <row r="1457" s="1" customFormat="1" customHeight="1" spans="1:6">
      <c r="A1457" s="9" t="str">
        <f>"10432104915"</f>
        <v>10432104915</v>
      </c>
      <c r="B1457" s="10">
        <v>38.45</v>
      </c>
      <c r="C1457" s="9"/>
      <c r="D1457" s="9">
        <f t="shared" si="22"/>
        <v>38.45</v>
      </c>
      <c r="E1457" s="11"/>
      <c r="F1457" s="9"/>
    </row>
    <row r="1458" s="1" customFormat="1" customHeight="1" spans="1:6">
      <c r="A1458" s="9" t="str">
        <f>"10022104916"</f>
        <v>10022104916</v>
      </c>
      <c r="B1458" s="10">
        <v>47.58</v>
      </c>
      <c r="C1458" s="9"/>
      <c r="D1458" s="9">
        <f t="shared" si="22"/>
        <v>47.58</v>
      </c>
      <c r="E1458" s="11"/>
      <c r="F1458" s="9"/>
    </row>
    <row r="1459" s="1" customFormat="1" customHeight="1" spans="1:6">
      <c r="A1459" s="9" t="str">
        <f>"10062104917"</f>
        <v>10062104917</v>
      </c>
      <c r="B1459" s="10">
        <v>36.8</v>
      </c>
      <c r="C1459" s="9">
        <v>10</v>
      </c>
      <c r="D1459" s="9">
        <f t="shared" si="22"/>
        <v>46.8</v>
      </c>
      <c r="E1459" s="12" t="s">
        <v>8</v>
      </c>
      <c r="F1459" s="9"/>
    </row>
    <row r="1460" s="1" customFormat="1" customHeight="1" spans="1:6">
      <c r="A1460" s="9" t="str">
        <f>"10332104918"</f>
        <v>10332104918</v>
      </c>
      <c r="B1460" s="10">
        <v>47.79</v>
      </c>
      <c r="C1460" s="9"/>
      <c r="D1460" s="9">
        <f t="shared" si="22"/>
        <v>47.79</v>
      </c>
      <c r="E1460" s="11"/>
      <c r="F1460" s="9"/>
    </row>
    <row r="1461" s="1" customFormat="1" customHeight="1" spans="1:6">
      <c r="A1461" s="9" t="str">
        <f>"10162104919"</f>
        <v>10162104919</v>
      </c>
      <c r="B1461" s="10">
        <v>0</v>
      </c>
      <c r="C1461" s="9"/>
      <c r="D1461" s="9">
        <f t="shared" si="22"/>
        <v>0</v>
      </c>
      <c r="E1461" s="11"/>
      <c r="F1461" s="9" t="s">
        <v>7</v>
      </c>
    </row>
    <row r="1462" s="1" customFormat="1" customHeight="1" spans="1:6">
      <c r="A1462" s="9" t="str">
        <f>"10042104920"</f>
        <v>10042104920</v>
      </c>
      <c r="B1462" s="10">
        <v>41.73</v>
      </c>
      <c r="C1462" s="9"/>
      <c r="D1462" s="9">
        <f t="shared" si="22"/>
        <v>41.73</v>
      </c>
      <c r="E1462" s="11"/>
      <c r="F1462" s="9"/>
    </row>
    <row r="1463" s="1" customFormat="1" customHeight="1" spans="1:6">
      <c r="A1463" s="9" t="str">
        <f>"10072104921"</f>
        <v>10072104921</v>
      </c>
      <c r="B1463" s="10">
        <v>38.9</v>
      </c>
      <c r="C1463" s="9"/>
      <c r="D1463" s="9">
        <f t="shared" si="22"/>
        <v>38.9</v>
      </c>
      <c r="E1463" s="11"/>
      <c r="F1463" s="9"/>
    </row>
    <row r="1464" s="1" customFormat="1" customHeight="1" spans="1:6">
      <c r="A1464" s="9" t="str">
        <f>"10082104922"</f>
        <v>10082104922</v>
      </c>
      <c r="B1464" s="10">
        <v>0</v>
      </c>
      <c r="C1464" s="9"/>
      <c r="D1464" s="9">
        <f t="shared" si="22"/>
        <v>0</v>
      </c>
      <c r="E1464" s="11"/>
      <c r="F1464" s="9" t="s">
        <v>7</v>
      </c>
    </row>
    <row r="1465" s="1" customFormat="1" customHeight="1" spans="1:6">
      <c r="A1465" s="9" t="str">
        <f>"10242104923"</f>
        <v>10242104923</v>
      </c>
      <c r="B1465" s="10">
        <v>44.84</v>
      </c>
      <c r="C1465" s="9"/>
      <c r="D1465" s="9">
        <f t="shared" si="22"/>
        <v>44.84</v>
      </c>
      <c r="E1465" s="11"/>
      <c r="F1465" s="9"/>
    </row>
    <row r="1466" s="1" customFormat="1" customHeight="1" spans="1:6">
      <c r="A1466" s="9" t="str">
        <f>"10372104924"</f>
        <v>10372104924</v>
      </c>
      <c r="B1466" s="10">
        <v>41.45</v>
      </c>
      <c r="C1466" s="9"/>
      <c r="D1466" s="9">
        <f t="shared" si="22"/>
        <v>41.45</v>
      </c>
      <c r="E1466" s="11"/>
      <c r="F1466" s="9"/>
    </row>
    <row r="1467" s="1" customFormat="1" customHeight="1" spans="1:6">
      <c r="A1467" s="9" t="str">
        <f>"10132104925"</f>
        <v>10132104925</v>
      </c>
      <c r="B1467" s="10">
        <v>0</v>
      </c>
      <c r="C1467" s="9"/>
      <c r="D1467" s="9">
        <f t="shared" si="22"/>
        <v>0</v>
      </c>
      <c r="E1467" s="11"/>
      <c r="F1467" s="9" t="s">
        <v>7</v>
      </c>
    </row>
    <row r="1468" s="1" customFormat="1" customHeight="1" spans="1:6">
      <c r="A1468" s="9" t="str">
        <f>"10522104926"</f>
        <v>10522104926</v>
      </c>
      <c r="B1468" s="10">
        <v>39.79</v>
      </c>
      <c r="C1468" s="9"/>
      <c r="D1468" s="9">
        <f t="shared" si="22"/>
        <v>39.79</v>
      </c>
      <c r="E1468" s="11"/>
      <c r="F1468" s="9"/>
    </row>
    <row r="1469" s="1" customFormat="1" customHeight="1" spans="1:6">
      <c r="A1469" s="9" t="str">
        <f>"20182104927"</f>
        <v>20182104927</v>
      </c>
      <c r="B1469" s="10">
        <v>41.92</v>
      </c>
      <c r="C1469" s="9"/>
      <c r="D1469" s="9">
        <f t="shared" si="22"/>
        <v>41.92</v>
      </c>
      <c r="E1469" s="11"/>
      <c r="F1469" s="9"/>
    </row>
    <row r="1470" s="1" customFormat="1" customHeight="1" spans="1:6">
      <c r="A1470" s="9" t="str">
        <f>"10442104928"</f>
        <v>10442104928</v>
      </c>
      <c r="B1470" s="10">
        <v>0</v>
      </c>
      <c r="C1470" s="9"/>
      <c r="D1470" s="9">
        <f t="shared" si="22"/>
        <v>0</v>
      </c>
      <c r="E1470" s="11"/>
      <c r="F1470" s="9" t="s">
        <v>7</v>
      </c>
    </row>
    <row r="1471" s="1" customFormat="1" customHeight="1" spans="1:6">
      <c r="A1471" s="9" t="str">
        <f>"10172104929"</f>
        <v>10172104929</v>
      </c>
      <c r="B1471" s="10">
        <v>0</v>
      </c>
      <c r="C1471" s="9"/>
      <c r="D1471" s="9">
        <f t="shared" si="22"/>
        <v>0</v>
      </c>
      <c r="E1471" s="11"/>
      <c r="F1471" s="9" t="s">
        <v>7</v>
      </c>
    </row>
    <row r="1472" s="1" customFormat="1" customHeight="1" spans="1:6">
      <c r="A1472" s="9" t="str">
        <f>"10362104930"</f>
        <v>10362104930</v>
      </c>
      <c r="B1472" s="10">
        <v>70.28</v>
      </c>
      <c r="C1472" s="9"/>
      <c r="D1472" s="9">
        <f t="shared" si="22"/>
        <v>70.28</v>
      </c>
      <c r="E1472" s="11"/>
      <c r="F1472" s="9"/>
    </row>
    <row r="1473" s="1" customFormat="1" customHeight="1" spans="1:6">
      <c r="A1473" s="9" t="str">
        <f>"10502105001"</f>
        <v>10502105001</v>
      </c>
      <c r="B1473" s="10">
        <v>0</v>
      </c>
      <c r="C1473" s="9"/>
      <c r="D1473" s="9">
        <f t="shared" si="22"/>
        <v>0</v>
      </c>
      <c r="E1473" s="11"/>
      <c r="F1473" s="9" t="s">
        <v>7</v>
      </c>
    </row>
    <row r="1474" s="1" customFormat="1" customHeight="1" spans="1:6">
      <c r="A1474" s="9" t="str">
        <f>"10362105002"</f>
        <v>10362105002</v>
      </c>
      <c r="B1474" s="10">
        <v>38.52</v>
      </c>
      <c r="C1474" s="9"/>
      <c r="D1474" s="9">
        <f t="shared" si="22"/>
        <v>38.52</v>
      </c>
      <c r="E1474" s="11"/>
      <c r="F1474" s="9"/>
    </row>
    <row r="1475" s="1" customFormat="1" customHeight="1" spans="1:6">
      <c r="A1475" s="9" t="str">
        <f>"10532105003"</f>
        <v>10532105003</v>
      </c>
      <c r="B1475" s="10">
        <v>0</v>
      </c>
      <c r="C1475" s="9"/>
      <c r="D1475" s="9">
        <f t="shared" ref="D1475:D1538" si="23">SUM(B1475:C1475)</f>
        <v>0</v>
      </c>
      <c r="E1475" s="11"/>
      <c r="F1475" s="9" t="s">
        <v>7</v>
      </c>
    </row>
    <row r="1476" s="1" customFormat="1" customHeight="1" spans="1:6">
      <c r="A1476" s="9" t="str">
        <f>"10212105004"</f>
        <v>10212105004</v>
      </c>
      <c r="B1476" s="10">
        <v>0</v>
      </c>
      <c r="C1476" s="9"/>
      <c r="D1476" s="9">
        <f t="shared" si="23"/>
        <v>0</v>
      </c>
      <c r="E1476" s="11"/>
      <c r="F1476" s="9" t="s">
        <v>7</v>
      </c>
    </row>
    <row r="1477" s="1" customFormat="1" customHeight="1" spans="1:6">
      <c r="A1477" s="9" t="str">
        <f>"10172105005"</f>
        <v>10172105005</v>
      </c>
      <c r="B1477" s="10">
        <v>33.13</v>
      </c>
      <c r="C1477" s="9"/>
      <c r="D1477" s="9">
        <f t="shared" si="23"/>
        <v>33.13</v>
      </c>
      <c r="E1477" s="11"/>
      <c r="F1477" s="9"/>
    </row>
    <row r="1478" s="1" customFormat="1" customHeight="1" spans="1:6">
      <c r="A1478" s="9" t="str">
        <f>"10102105006"</f>
        <v>10102105006</v>
      </c>
      <c r="B1478" s="10">
        <v>37.49</v>
      </c>
      <c r="C1478" s="9"/>
      <c r="D1478" s="9">
        <f t="shared" si="23"/>
        <v>37.49</v>
      </c>
      <c r="E1478" s="11"/>
      <c r="F1478" s="9"/>
    </row>
    <row r="1479" s="1" customFormat="1" customHeight="1" spans="1:6">
      <c r="A1479" s="9" t="str">
        <f>"10202105007"</f>
        <v>10202105007</v>
      </c>
      <c r="B1479" s="10">
        <v>42.68</v>
      </c>
      <c r="C1479" s="9"/>
      <c r="D1479" s="9">
        <f t="shared" si="23"/>
        <v>42.68</v>
      </c>
      <c r="E1479" s="11"/>
      <c r="F1479" s="9"/>
    </row>
    <row r="1480" s="1" customFormat="1" customHeight="1" spans="1:6">
      <c r="A1480" s="9" t="str">
        <f>"10452105008"</f>
        <v>10452105008</v>
      </c>
      <c r="B1480" s="10">
        <v>43.58</v>
      </c>
      <c r="C1480" s="9"/>
      <c r="D1480" s="9">
        <f t="shared" si="23"/>
        <v>43.58</v>
      </c>
      <c r="E1480" s="11"/>
      <c r="F1480" s="9"/>
    </row>
    <row r="1481" s="1" customFormat="1" customHeight="1" spans="1:6">
      <c r="A1481" s="9" t="str">
        <f>"10272105009"</f>
        <v>10272105009</v>
      </c>
      <c r="B1481" s="10">
        <v>35.22</v>
      </c>
      <c r="C1481" s="9"/>
      <c r="D1481" s="9">
        <f t="shared" si="23"/>
        <v>35.22</v>
      </c>
      <c r="E1481" s="11"/>
      <c r="F1481" s="9"/>
    </row>
    <row r="1482" s="1" customFormat="1" customHeight="1" spans="1:6">
      <c r="A1482" s="9" t="str">
        <f>"10362105010"</f>
        <v>10362105010</v>
      </c>
      <c r="B1482" s="10">
        <v>0</v>
      </c>
      <c r="C1482" s="9"/>
      <c r="D1482" s="9">
        <f t="shared" si="23"/>
        <v>0</v>
      </c>
      <c r="E1482" s="11"/>
      <c r="F1482" s="9" t="s">
        <v>7</v>
      </c>
    </row>
    <row r="1483" s="1" customFormat="1" customHeight="1" spans="1:6">
      <c r="A1483" s="9" t="str">
        <f>"10432105011"</f>
        <v>10432105011</v>
      </c>
      <c r="B1483" s="10">
        <v>45.05</v>
      </c>
      <c r="C1483" s="9"/>
      <c r="D1483" s="9">
        <f t="shared" si="23"/>
        <v>45.05</v>
      </c>
      <c r="E1483" s="11"/>
      <c r="F1483" s="9"/>
    </row>
    <row r="1484" s="1" customFormat="1" customHeight="1" spans="1:6">
      <c r="A1484" s="9" t="str">
        <f>"10482105012"</f>
        <v>10482105012</v>
      </c>
      <c r="B1484" s="10">
        <v>43.74</v>
      </c>
      <c r="C1484" s="9"/>
      <c r="D1484" s="9">
        <f t="shared" si="23"/>
        <v>43.74</v>
      </c>
      <c r="E1484" s="11"/>
      <c r="F1484" s="9"/>
    </row>
    <row r="1485" s="1" customFormat="1" customHeight="1" spans="1:6">
      <c r="A1485" s="9" t="str">
        <f>"10202105013"</f>
        <v>10202105013</v>
      </c>
      <c r="B1485" s="10">
        <v>38.85</v>
      </c>
      <c r="C1485" s="9"/>
      <c r="D1485" s="9">
        <f t="shared" si="23"/>
        <v>38.85</v>
      </c>
      <c r="E1485" s="11"/>
      <c r="F1485" s="9"/>
    </row>
    <row r="1486" s="1" customFormat="1" customHeight="1" spans="1:6">
      <c r="A1486" s="9" t="str">
        <f>"10482105014"</f>
        <v>10482105014</v>
      </c>
      <c r="B1486" s="10">
        <v>40.64</v>
      </c>
      <c r="C1486" s="9"/>
      <c r="D1486" s="9">
        <f t="shared" si="23"/>
        <v>40.64</v>
      </c>
      <c r="E1486" s="11"/>
      <c r="F1486" s="9"/>
    </row>
    <row r="1487" s="1" customFormat="1" customHeight="1" spans="1:6">
      <c r="A1487" s="9" t="str">
        <f>"10062105015"</f>
        <v>10062105015</v>
      </c>
      <c r="B1487" s="10">
        <v>0</v>
      </c>
      <c r="C1487" s="9"/>
      <c r="D1487" s="9">
        <f t="shared" si="23"/>
        <v>0</v>
      </c>
      <c r="E1487" s="11"/>
      <c r="F1487" s="9" t="s">
        <v>7</v>
      </c>
    </row>
    <row r="1488" s="1" customFormat="1" customHeight="1" spans="1:6">
      <c r="A1488" s="9" t="str">
        <f>"10332105016"</f>
        <v>10332105016</v>
      </c>
      <c r="B1488" s="10">
        <v>39.51</v>
      </c>
      <c r="C1488" s="9"/>
      <c r="D1488" s="9">
        <f t="shared" si="23"/>
        <v>39.51</v>
      </c>
      <c r="E1488" s="11"/>
      <c r="F1488" s="9"/>
    </row>
    <row r="1489" s="1" customFormat="1" customHeight="1" spans="1:6">
      <c r="A1489" s="9" t="str">
        <f>"10332105017"</f>
        <v>10332105017</v>
      </c>
      <c r="B1489" s="10">
        <v>0</v>
      </c>
      <c r="C1489" s="9"/>
      <c r="D1489" s="9">
        <f t="shared" si="23"/>
        <v>0</v>
      </c>
      <c r="E1489" s="11"/>
      <c r="F1489" s="9" t="s">
        <v>7</v>
      </c>
    </row>
    <row r="1490" s="1" customFormat="1" customHeight="1" spans="1:6">
      <c r="A1490" s="9" t="str">
        <f>"10502105018"</f>
        <v>10502105018</v>
      </c>
      <c r="B1490" s="10">
        <v>0</v>
      </c>
      <c r="C1490" s="9"/>
      <c r="D1490" s="9">
        <f t="shared" si="23"/>
        <v>0</v>
      </c>
      <c r="E1490" s="11"/>
      <c r="F1490" s="9" t="s">
        <v>7</v>
      </c>
    </row>
    <row r="1491" s="1" customFormat="1" customHeight="1" spans="1:6">
      <c r="A1491" s="9" t="str">
        <f>"10302105019"</f>
        <v>10302105019</v>
      </c>
      <c r="B1491" s="10">
        <v>50.06</v>
      </c>
      <c r="C1491" s="9"/>
      <c r="D1491" s="9">
        <f t="shared" si="23"/>
        <v>50.06</v>
      </c>
      <c r="E1491" s="11"/>
      <c r="F1491" s="9"/>
    </row>
    <row r="1492" s="1" customFormat="1" customHeight="1" spans="1:6">
      <c r="A1492" s="9" t="str">
        <f>"10412105020"</f>
        <v>10412105020</v>
      </c>
      <c r="B1492" s="10">
        <v>43.49</v>
      </c>
      <c r="C1492" s="9"/>
      <c r="D1492" s="9">
        <f t="shared" si="23"/>
        <v>43.49</v>
      </c>
      <c r="E1492" s="11"/>
      <c r="F1492" s="9"/>
    </row>
    <row r="1493" s="1" customFormat="1" customHeight="1" spans="1:6">
      <c r="A1493" s="9" t="str">
        <f>"10092105021"</f>
        <v>10092105021</v>
      </c>
      <c r="B1493" s="10">
        <v>0</v>
      </c>
      <c r="C1493" s="9"/>
      <c r="D1493" s="9">
        <f t="shared" si="23"/>
        <v>0</v>
      </c>
      <c r="E1493" s="11"/>
      <c r="F1493" s="9" t="s">
        <v>7</v>
      </c>
    </row>
    <row r="1494" s="1" customFormat="1" customHeight="1" spans="1:6">
      <c r="A1494" s="9" t="str">
        <f>"10362105022"</f>
        <v>10362105022</v>
      </c>
      <c r="B1494" s="10">
        <v>44.44</v>
      </c>
      <c r="C1494" s="9"/>
      <c r="D1494" s="9">
        <f t="shared" si="23"/>
        <v>44.44</v>
      </c>
      <c r="E1494" s="11"/>
      <c r="F1494" s="9"/>
    </row>
    <row r="1495" s="1" customFormat="1" customHeight="1" spans="1:6">
      <c r="A1495" s="9" t="str">
        <f>"10302105023"</f>
        <v>10302105023</v>
      </c>
      <c r="B1495" s="10">
        <v>0</v>
      </c>
      <c r="C1495" s="9"/>
      <c r="D1495" s="9">
        <f t="shared" si="23"/>
        <v>0</v>
      </c>
      <c r="E1495" s="11"/>
      <c r="F1495" s="9" t="s">
        <v>7</v>
      </c>
    </row>
    <row r="1496" s="1" customFormat="1" customHeight="1" spans="1:6">
      <c r="A1496" s="9" t="str">
        <f>"10442105024"</f>
        <v>10442105024</v>
      </c>
      <c r="B1496" s="10">
        <v>38.77</v>
      </c>
      <c r="C1496" s="9"/>
      <c r="D1496" s="9">
        <f t="shared" si="23"/>
        <v>38.77</v>
      </c>
      <c r="E1496" s="11"/>
      <c r="F1496" s="9"/>
    </row>
    <row r="1497" s="1" customFormat="1" customHeight="1" spans="1:6">
      <c r="A1497" s="9" t="str">
        <f>"10362105025"</f>
        <v>10362105025</v>
      </c>
      <c r="B1497" s="10">
        <v>37.78</v>
      </c>
      <c r="C1497" s="9"/>
      <c r="D1497" s="9">
        <f t="shared" si="23"/>
        <v>37.78</v>
      </c>
      <c r="E1497" s="11"/>
      <c r="F1497" s="9"/>
    </row>
    <row r="1498" s="1" customFormat="1" customHeight="1" spans="1:6">
      <c r="A1498" s="9" t="str">
        <f>"10362105026"</f>
        <v>10362105026</v>
      </c>
      <c r="B1498" s="10">
        <v>33.15</v>
      </c>
      <c r="C1498" s="9">
        <v>10</v>
      </c>
      <c r="D1498" s="9">
        <f t="shared" si="23"/>
        <v>43.15</v>
      </c>
      <c r="E1498" s="12" t="s">
        <v>8</v>
      </c>
      <c r="F1498" s="9"/>
    </row>
    <row r="1499" s="1" customFormat="1" customHeight="1" spans="1:6">
      <c r="A1499" s="9" t="str">
        <f>"10302105027"</f>
        <v>10302105027</v>
      </c>
      <c r="B1499" s="10">
        <v>44.77</v>
      </c>
      <c r="C1499" s="9"/>
      <c r="D1499" s="9">
        <f t="shared" si="23"/>
        <v>44.77</v>
      </c>
      <c r="E1499" s="11"/>
      <c r="F1499" s="9"/>
    </row>
    <row r="1500" s="1" customFormat="1" customHeight="1" spans="1:6">
      <c r="A1500" s="9" t="str">
        <f>"10362105028"</f>
        <v>10362105028</v>
      </c>
      <c r="B1500" s="10">
        <v>41.35</v>
      </c>
      <c r="C1500" s="9"/>
      <c r="D1500" s="9">
        <f t="shared" si="23"/>
        <v>41.35</v>
      </c>
      <c r="E1500" s="11"/>
      <c r="F1500" s="9"/>
    </row>
    <row r="1501" s="1" customFormat="1" customHeight="1" spans="1:6">
      <c r="A1501" s="9" t="str">
        <f>"10502105029"</f>
        <v>10502105029</v>
      </c>
      <c r="B1501" s="10">
        <v>0</v>
      </c>
      <c r="C1501" s="9"/>
      <c r="D1501" s="9">
        <f t="shared" si="23"/>
        <v>0</v>
      </c>
      <c r="E1501" s="11"/>
      <c r="F1501" s="9" t="s">
        <v>7</v>
      </c>
    </row>
    <row r="1502" s="1" customFormat="1" customHeight="1" spans="1:6">
      <c r="A1502" s="9" t="str">
        <f>"10362105030"</f>
        <v>10362105030</v>
      </c>
      <c r="B1502" s="10">
        <v>36.75</v>
      </c>
      <c r="C1502" s="9"/>
      <c r="D1502" s="9">
        <f t="shared" si="23"/>
        <v>36.75</v>
      </c>
      <c r="E1502" s="11"/>
      <c r="F1502" s="9"/>
    </row>
    <row r="1503" s="1" customFormat="1" customHeight="1" spans="1:6">
      <c r="A1503" s="9" t="str">
        <f>"10072105101"</f>
        <v>10072105101</v>
      </c>
      <c r="B1503" s="10">
        <v>39.08</v>
      </c>
      <c r="C1503" s="9"/>
      <c r="D1503" s="9">
        <f t="shared" si="23"/>
        <v>39.08</v>
      </c>
      <c r="E1503" s="11"/>
      <c r="F1503" s="9"/>
    </row>
    <row r="1504" s="1" customFormat="1" customHeight="1" spans="1:6">
      <c r="A1504" s="9" t="str">
        <f>"10212105102"</f>
        <v>10212105102</v>
      </c>
      <c r="B1504" s="10">
        <v>39.52</v>
      </c>
      <c r="C1504" s="9"/>
      <c r="D1504" s="9">
        <f t="shared" si="23"/>
        <v>39.52</v>
      </c>
      <c r="E1504" s="11"/>
      <c r="F1504" s="9"/>
    </row>
    <row r="1505" s="1" customFormat="1" customHeight="1" spans="1:6">
      <c r="A1505" s="9" t="str">
        <f>"10082105103"</f>
        <v>10082105103</v>
      </c>
      <c r="B1505" s="10">
        <v>0</v>
      </c>
      <c r="C1505" s="9"/>
      <c r="D1505" s="9">
        <f t="shared" si="23"/>
        <v>0</v>
      </c>
      <c r="E1505" s="11"/>
      <c r="F1505" s="9" t="s">
        <v>7</v>
      </c>
    </row>
    <row r="1506" s="1" customFormat="1" customHeight="1" spans="1:6">
      <c r="A1506" s="9" t="str">
        <f>"10532105104"</f>
        <v>10532105104</v>
      </c>
      <c r="B1506" s="10">
        <v>36.95</v>
      </c>
      <c r="C1506" s="9"/>
      <c r="D1506" s="9">
        <f t="shared" si="23"/>
        <v>36.95</v>
      </c>
      <c r="E1506" s="11"/>
      <c r="F1506" s="9"/>
    </row>
    <row r="1507" s="1" customFormat="1" customHeight="1" spans="1:6">
      <c r="A1507" s="9" t="str">
        <f>"10202105105"</f>
        <v>10202105105</v>
      </c>
      <c r="B1507" s="10">
        <v>39.84</v>
      </c>
      <c r="C1507" s="9"/>
      <c r="D1507" s="9">
        <f t="shared" si="23"/>
        <v>39.84</v>
      </c>
      <c r="E1507" s="11"/>
      <c r="F1507" s="9"/>
    </row>
    <row r="1508" s="1" customFormat="1" customHeight="1" spans="1:6">
      <c r="A1508" s="9" t="str">
        <f>"10502105106"</f>
        <v>10502105106</v>
      </c>
      <c r="B1508" s="10">
        <v>35.32</v>
      </c>
      <c r="C1508" s="9"/>
      <c r="D1508" s="9">
        <f t="shared" si="23"/>
        <v>35.32</v>
      </c>
      <c r="E1508" s="11"/>
      <c r="F1508" s="9"/>
    </row>
    <row r="1509" s="1" customFormat="1" customHeight="1" spans="1:6">
      <c r="A1509" s="9" t="str">
        <f>"10362105107"</f>
        <v>10362105107</v>
      </c>
      <c r="B1509" s="10">
        <v>0</v>
      </c>
      <c r="C1509" s="9"/>
      <c r="D1509" s="9">
        <f t="shared" si="23"/>
        <v>0</v>
      </c>
      <c r="E1509" s="11"/>
      <c r="F1509" s="9" t="s">
        <v>7</v>
      </c>
    </row>
    <row r="1510" s="1" customFormat="1" customHeight="1" spans="1:6">
      <c r="A1510" s="9" t="str">
        <f>"10062105108"</f>
        <v>10062105108</v>
      </c>
      <c r="B1510" s="10">
        <v>0</v>
      </c>
      <c r="C1510" s="9"/>
      <c r="D1510" s="9">
        <f t="shared" si="23"/>
        <v>0</v>
      </c>
      <c r="E1510" s="11"/>
      <c r="F1510" s="9" t="s">
        <v>7</v>
      </c>
    </row>
    <row r="1511" s="1" customFormat="1" customHeight="1" spans="1:6">
      <c r="A1511" s="9" t="str">
        <f>"10442105109"</f>
        <v>10442105109</v>
      </c>
      <c r="B1511" s="10">
        <v>36.73</v>
      </c>
      <c r="C1511" s="9"/>
      <c r="D1511" s="9">
        <f t="shared" si="23"/>
        <v>36.73</v>
      </c>
      <c r="E1511" s="11"/>
      <c r="F1511" s="9"/>
    </row>
    <row r="1512" s="1" customFormat="1" customHeight="1" spans="1:6">
      <c r="A1512" s="9" t="str">
        <f>"10072105110"</f>
        <v>10072105110</v>
      </c>
      <c r="B1512" s="10">
        <v>0</v>
      </c>
      <c r="C1512" s="9"/>
      <c r="D1512" s="9">
        <f t="shared" si="23"/>
        <v>0</v>
      </c>
      <c r="E1512" s="11"/>
      <c r="F1512" s="9" t="s">
        <v>7</v>
      </c>
    </row>
    <row r="1513" s="1" customFormat="1" customHeight="1" spans="1:6">
      <c r="A1513" s="9" t="str">
        <f>"10202105111"</f>
        <v>10202105111</v>
      </c>
      <c r="B1513" s="10">
        <v>65.01</v>
      </c>
      <c r="C1513" s="9"/>
      <c r="D1513" s="9">
        <f t="shared" si="23"/>
        <v>65.01</v>
      </c>
      <c r="E1513" s="11"/>
      <c r="F1513" s="9"/>
    </row>
    <row r="1514" s="1" customFormat="1" customHeight="1" spans="1:6">
      <c r="A1514" s="9" t="str">
        <f>"10332105112"</f>
        <v>10332105112</v>
      </c>
      <c r="B1514" s="10">
        <v>51.32</v>
      </c>
      <c r="C1514" s="9"/>
      <c r="D1514" s="9">
        <f t="shared" si="23"/>
        <v>51.32</v>
      </c>
      <c r="E1514" s="11"/>
      <c r="F1514" s="9"/>
    </row>
    <row r="1515" s="1" customFormat="1" customHeight="1" spans="1:6">
      <c r="A1515" s="9" t="str">
        <f>"10142105113"</f>
        <v>10142105113</v>
      </c>
      <c r="B1515" s="10">
        <v>39.68</v>
      </c>
      <c r="C1515" s="9"/>
      <c r="D1515" s="9">
        <f t="shared" si="23"/>
        <v>39.68</v>
      </c>
      <c r="E1515" s="11"/>
      <c r="F1515" s="9"/>
    </row>
    <row r="1516" s="1" customFormat="1" customHeight="1" spans="1:6">
      <c r="A1516" s="9" t="str">
        <f>"10332105114"</f>
        <v>10332105114</v>
      </c>
      <c r="B1516" s="10">
        <v>0</v>
      </c>
      <c r="C1516" s="9"/>
      <c r="D1516" s="9">
        <f t="shared" si="23"/>
        <v>0</v>
      </c>
      <c r="E1516" s="11"/>
      <c r="F1516" s="9" t="s">
        <v>7</v>
      </c>
    </row>
    <row r="1517" s="1" customFormat="1" customHeight="1" spans="1:6">
      <c r="A1517" s="9" t="str">
        <f>"10362105115"</f>
        <v>10362105115</v>
      </c>
      <c r="B1517" s="10">
        <v>0</v>
      </c>
      <c r="C1517" s="9"/>
      <c r="D1517" s="9">
        <f t="shared" si="23"/>
        <v>0</v>
      </c>
      <c r="E1517" s="11"/>
      <c r="F1517" s="9" t="s">
        <v>7</v>
      </c>
    </row>
    <row r="1518" s="1" customFormat="1" customHeight="1" spans="1:6">
      <c r="A1518" s="9" t="str">
        <f>"10062105116"</f>
        <v>10062105116</v>
      </c>
      <c r="B1518" s="10">
        <v>46.72</v>
      </c>
      <c r="C1518" s="9"/>
      <c r="D1518" s="9">
        <f t="shared" si="23"/>
        <v>46.72</v>
      </c>
      <c r="E1518" s="11"/>
      <c r="F1518" s="9"/>
    </row>
    <row r="1519" s="1" customFormat="1" customHeight="1" spans="1:6">
      <c r="A1519" s="9" t="str">
        <f>"10352105117"</f>
        <v>10352105117</v>
      </c>
      <c r="B1519" s="10">
        <v>31.27</v>
      </c>
      <c r="C1519" s="9"/>
      <c r="D1519" s="9">
        <f t="shared" si="23"/>
        <v>31.27</v>
      </c>
      <c r="E1519" s="11"/>
      <c r="F1519" s="9"/>
    </row>
    <row r="1520" s="1" customFormat="1" customHeight="1" spans="1:6">
      <c r="A1520" s="9" t="str">
        <f>"10172105118"</f>
        <v>10172105118</v>
      </c>
      <c r="B1520" s="10">
        <v>0</v>
      </c>
      <c r="C1520" s="9"/>
      <c r="D1520" s="9">
        <f t="shared" si="23"/>
        <v>0</v>
      </c>
      <c r="E1520" s="11"/>
      <c r="F1520" s="9" t="s">
        <v>7</v>
      </c>
    </row>
    <row r="1521" s="1" customFormat="1" customHeight="1" spans="1:6">
      <c r="A1521" s="9" t="str">
        <f>"10532105119"</f>
        <v>10532105119</v>
      </c>
      <c r="B1521" s="10">
        <v>29.54</v>
      </c>
      <c r="C1521" s="9"/>
      <c r="D1521" s="9">
        <f t="shared" si="23"/>
        <v>29.54</v>
      </c>
      <c r="E1521" s="11"/>
      <c r="F1521" s="9"/>
    </row>
    <row r="1522" s="1" customFormat="1" customHeight="1" spans="1:6">
      <c r="A1522" s="9" t="str">
        <f>"10102105120"</f>
        <v>10102105120</v>
      </c>
      <c r="B1522" s="10">
        <v>0</v>
      </c>
      <c r="C1522" s="9"/>
      <c r="D1522" s="9">
        <f t="shared" si="23"/>
        <v>0</v>
      </c>
      <c r="E1522" s="11"/>
      <c r="F1522" s="9" t="s">
        <v>7</v>
      </c>
    </row>
    <row r="1523" s="1" customFormat="1" customHeight="1" spans="1:6">
      <c r="A1523" s="9" t="str">
        <f>"10172105121"</f>
        <v>10172105121</v>
      </c>
      <c r="B1523" s="10">
        <v>0</v>
      </c>
      <c r="C1523" s="9"/>
      <c r="D1523" s="9">
        <f t="shared" si="23"/>
        <v>0</v>
      </c>
      <c r="E1523" s="11"/>
      <c r="F1523" s="9" t="s">
        <v>7</v>
      </c>
    </row>
    <row r="1524" s="1" customFormat="1" customHeight="1" spans="1:6">
      <c r="A1524" s="9" t="str">
        <f>"10112105122"</f>
        <v>10112105122</v>
      </c>
      <c r="B1524" s="10">
        <v>29.23</v>
      </c>
      <c r="C1524" s="9"/>
      <c r="D1524" s="9">
        <f t="shared" si="23"/>
        <v>29.23</v>
      </c>
      <c r="E1524" s="11"/>
      <c r="F1524" s="9"/>
    </row>
    <row r="1525" s="1" customFormat="1" customHeight="1" spans="1:6">
      <c r="A1525" s="9" t="str">
        <f>"10132105123"</f>
        <v>10132105123</v>
      </c>
      <c r="B1525" s="10">
        <v>35.43</v>
      </c>
      <c r="C1525" s="9"/>
      <c r="D1525" s="9">
        <f t="shared" si="23"/>
        <v>35.43</v>
      </c>
      <c r="E1525" s="11"/>
      <c r="F1525" s="9"/>
    </row>
    <row r="1526" s="1" customFormat="1" customHeight="1" spans="1:6">
      <c r="A1526" s="9" t="str">
        <f>"10302105124"</f>
        <v>10302105124</v>
      </c>
      <c r="B1526" s="10">
        <v>0</v>
      </c>
      <c r="C1526" s="9"/>
      <c r="D1526" s="9">
        <f t="shared" si="23"/>
        <v>0</v>
      </c>
      <c r="E1526" s="11"/>
      <c r="F1526" s="9" t="s">
        <v>7</v>
      </c>
    </row>
    <row r="1527" s="1" customFormat="1" customHeight="1" spans="1:6">
      <c r="A1527" s="9" t="str">
        <f>"10462105125"</f>
        <v>10462105125</v>
      </c>
      <c r="B1527" s="10">
        <v>41.75</v>
      </c>
      <c r="C1527" s="9"/>
      <c r="D1527" s="9">
        <f t="shared" si="23"/>
        <v>41.75</v>
      </c>
      <c r="E1527" s="11"/>
      <c r="F1527" s="9"/>
    </row>
    <row r="1528" s="1" customFormat="1" customHeight="1" spans="1:6">
      <c r="A1528" s="9" t="str">
        <f>"10452105126"</f>
        <v>10452105126</v>
      </c>
      <c r="B1528" s="10">
        <v>43.21</v>
      </c>
      <c r="C1528" s="9"/>
      <c r="D1528" s="9">
        <f t="shared" si="23"/>
        <v>43.21</v>
      </c>
      <c r="E1528" s="11"/>
      <c r="F1528" s="9"/>
    </row>
    <row r="1529" s="1" customFormat="1" customHeight="1" spans="1:6">
      <c r="A1529" s="9" t="str">
        <f>"10532105127"</f>
        <v>10532105127</v>
      </c>
      <c r="B1529" s="10">
        <v>36.98</v>
      </c>
      <c r="C1529" s="9"/>
      <c r="D1529" s="9">
        <f t="shared" si="23"/>
        <v>36.98</v>
      </c>
      <c r="E1529" s="11"/>
      <c r="F1529" s="9"/>
    </row>
    <row r="1530" s="1" customFormat="1" customHeight="1" spans="1:6">
      <c r="A1530" s="9" t="str">
        <f>"10362105128"</f>
        <v>10362105128</v>
      </c>
      <c r="B1530" s="10">
        <v>0</v>
      </c>
      <c r="C1530" s="9"/>
      <c r="D1530" s="9">
        <f t="shared" si="23"/>
        <v>0</v>
      </c>
      <c r="E1530" s="11"/>
      <c r="F1530" s="9" t="s">
        <v>7</v>
      </c>
    </row>
    <row r="1531" s="1" customFormat="1" customHeight="1" spans="1:6">
      <c r="A1531" s="9" t="str">
        <f>"10522105129"</f>
        <v>10522105129</v>
      </c>
      <c r="B1531" s="10">
        <v>34.47</v>
      </c>
      <c r="C1531" s="9"/>
      <c r="D1531" s="9">
        <f t="shared" si="23"/>
        <v>34.47</v>
      </c>
      <c r="E1531" s="11"/>
      <c r="F1531" s="9"/>
    </row>
    <row r="1532" s="1" customFormat="1" customHeight="1" spans="1:6">
      <c r="A1532" s="9" t="str">
        <f>"10092105130"</f>
        <v>10092105130</v>
      </c>
      <c r="B1532" s="10">
        <v>37.55</v>
      </c>
      <c r="C1532" s="9"/>
      <c r="D1532" s="9">
        <f t="shared" si="23"/>
        <v>37.55</v>
      </c>
      <c r="E1532" s="11"/>
      <c r="F1532" s="9"/>
    </row>
    <row r="1533" s="1" customFormat="1" customHeight="1" spans="1:6">
      <c r="A1533" s="9" t="str">
        <f>"10012105201"</f>
        <v>10012105201</v>
      </c>
      <c r="B1533" s="10">
        <v>51.3</v>
      </c>
      <c r="C1533" s="9"/>
      <c r="D1533" s="9">
        <f t="shared" si="23"/>
        <v>51.3</v>
      </c>
      <c r="E1533" s="11"/>
      <c r="F1533" s="9"/>
    </row>
    <row r="1534" s="1" customFormat="1" customHeight="1" spans="1:6">
      <c r="A1534" s="9" t="str">
        <f>"10302105202"</f>
        <v>10302105202</v>
      </c>
      <c r="B1534" s="10">
        <v>0</v>
      </c>
      <c r="C1534" s="9"/>
      <c r="D1534" s="9">
        <f t="shared" si="23"/>
        <v>0</v>
      </c>
      <c r="E1534" s="11"/>
      <c r="F1534" s="9" t="s">
        <v>7</v>
      </c>
    </row>
    <row r="1535" s="1" customFormat="1" customHeight="1" spans="1:6">
      <c r="A1535" s="9" t="str">
        <f>"10072105203"</f>
        <v>10072105203</v>
      </c>
      <c r="B1535" s="10">
        <v>0</v>
      </c>
      <c r="C1535" s="9"/>
      <c r="D1535" s="9">
        <f t="shared" si="23"/>
        <v>0</v>
      </c>
      <c r="E1535" s="11"/>
      <c r="F1535" s="9" t="s">
        <v>7</v>
      </c>
    </row>
    <row r="1536" s="1" customFormat="1" customHeight="1" spans="1:6">
      <c r="A1536" s="9" t="str">
        <f>"10362105204"</f>
        <v>10362105204</v>
      </c>
      <c r="B1536" s="10">
        <v>0</v>
      </c>
      <c r="C1536" s="9"/>
      <c r="D1536" s="9">
        <f t="shared" si="23"/>
        <v>0</v>
      </c>
      <c r="E1536" s="11"/>
      <c r="F1536" s="9" t="s">
        <v>7</v>
      </c>
    </row>
    <row r="1537" s="1" customFormat="1" customHeight="1" spans="1:6">
      <c r="A1537" s="9" t="str">
        <f>"10162105205"</f>
        <v>10162105205</v>
      </c>
      <c r="B1537" s="10">
        <v>34.27</v>
      </c>
      <c r="C1537" s="9"/>
      <c r="D1537" s="9">
        <f t="shared" si="23"/>
        <v>34.27</v>
      </c>
      <c r="E1537" s="11"/>
      <c r="F1537" s="9"/>
    </row>
    <row r="1538" s="1" customFormat="1" customHeight="1" spans="1:6">
      <c r="A1538" s="9" t="str">
        <f>"20272105206"</f>
        <v>20272105206</v>
      </c>
      <c r="B1538" s="10">
        <v>47.15</v>
      </c>
      <c r="C1538" s="9"/>
      <c r="D1538" s="9">
        <f t="shared" si="23"/>
        <v>47.15</v>
      </c>
      <c r="E1538" s="11"/>
      <c r="F1538" s="9"/>
    </row>
    <row r="1539" s="1" customFormat="1" customHeight="1" spans="1:6">
      <c r="A1539" s="9" t="str">
        <f>"10112105207"</f>
        <v>10112105207</v>
      </c>
      <c r="B1539" s="10">
        <v>0</v>
      </c>
      <c r="C1539" s="9"/>
      <c r="D1539" s="9">
        <f t="shared" ref="D1539:D1602" si="24">SUM(B1539:C1539)</f>
        <v>0</v>
      </c>
      <c r="E1539" s="11"/>
      <c r="F1539" s="9" t="s">
        <v>7</v>
      </c>
    </row>
    <row r="1540" s="1" customFormat="1" customHeight="1" spans="1:6">
      <c r="A1540" s="9" t="str">
        <f>"10362105208"</f>
        <v>10362105208</v>
      </c>
      <c r="B1540" s="10">
        <v>0</v>
      </c>
      <c r="C1540" s="9"/>
      <c r="D1540" s="9">
        <f t="shared" si="24"/>
        <v>0</v>
      </c>
      <c r="E1540" s="11"/>
      <c r="F1540" s="9" t="s">
        <v>7</v>
      </c>
    </row>
    <row r="1541" s="1" customFormat="1" customHeight="1" spans="1:6">
      <c r="A1541" s="9" t="str">
        <f>"10332105209"</f>
        <v>10332105209</v>
      </c>
      <c r="B1541" s="10">
        <v>34.7</v>
      </c>
      <c r="C1541" s="9"/>
      <c r="D1541" s="9">
        <f t="shared" si="24"/>
        <v>34.7</v>
      </c>
      <c r="E1541" s="11"/>
      <c r="F1541" s="9"/>
    </row>
    <row r="1542" s="1" customFormat="1" customHeight="1" spans="1:6">
      <c r="A1542" s="9" t="str">
        <f>"10362105210"</f>
        <v>10362105210</v>
      </c>
      <c r="B1542" s="10">
        <v>38.27</v>
      </c>
      <c r="C1542" s="9"/>
      <c r="D1542" s="9">
        <f t="shared" si="24"/>
        <v>38.27</v>
      </c>
      <c r="E1542" s="11"/>
      <c r="F1542" s="9"/>
    </row>
    <row r="1543" s="1" customFormat="1" customHeight="1" spans="1:6">
      <c r="A1543" s="9" t="str">
        <f>"10322105211"</f>
        <v>10322105211</v>
      </c>
      <c r="B1543" s="10">
        <v>39.9</v>
      </c>
      <c r="C1543" s="9"/>
      <c r="D1543" s="9">
        <f t="shared" si="24"/>
        <v>39.9</v>
      </c>
      <c r="E1543" s="11"/>
      <c r="F1543" s="9"/>
    </row>
    <row r="1544" s="1" customFormat="1" customHeight="1" spans="1:6">
      <c r="A1544" s="9" t="str">
        <f>"10242105212"</f>
        <v>10242105212</v>
      </c>
      <c r="B1544" s="10">
        <v>0</v>
      </c>
      <c r="C1544" s="9"/>
      <c r="D1544" s="9">
        <f t="shared" si="24"/>
        <v>0</v>
      </c>
      <c r="E1544" s="11"/>
      <c r="F1544" s="9" t="s">
        <v>7</v>
      </c>
    </row>
    <row r="1545" s="1" customFormat="1" customHeight="1" spans="1:6">
      <c r="A1545" s="9" t="str">
        <f>"10022105213"</f>
        <v>10022105213</v>
      </c>
      <c r="B1545" s="10">
        <v>0</v>
      </c>
      <c r="C1545" s="9"/>
      <c r="D1545" s="9">
        <f t="shared" si="24"/>
        <v>0</v>
      </c>
      <c r="E1545" s="11"/>
      <c r="F1545" s="9" t="s">
        <v>7</v>
      </c>
    </row>
    <row r="1546" s="1" customFormat="1" customHeight="1" spans="1:6">
      <c r="A1546" s="9" t="str">
        <f>"10262105214"</f>
        <v>10262105214</v>
      </c>
      <c r="B1546" s="10">
        <v>45.08</v>
      </c>
      <c r="C1546" s="9"/>
      <c r="D1546" s="9">
        <f t="shared" si="24"/>
        <v>45.08</v>
      </c>
      <c r="E1546" s="11"/>
      <c r="F1546" s="9"/>
    </row>
    <row r="1547" s="1" customFormat="1" customHeight="1" spans="1:6">
      <c r="A1547" s="9" t="str">
        <f>"10332105215"</f>
        <v>10332105215</v>
      </c>
      <c r="B1547" s="10">
        <v>36.29</v>
      </c>
      <c r="C1547" s="9"/>
      <c r="D1547" s="9">
        <f t="shared" si="24"/>
        <v>36.29</v>
      </c>
      <c r="E1547" s="11"/>
      <c r="F1547" s="9"/>
    </row>
    <row r="1548" s="1" customFormat="1" customHeight="1" spans="1:6">
      <c r="A1548" s="9" t="str">
        <f>"10362105216"</f>
        <v>10362105216</v>
      </c>
      <c r="B1548" s="10">
        <v>48.37</v>
      </c>
      <c r="C1548" s="9"/>
      <c r="D1548" s="9">
        <f t="shared" si="24"/>
        <v>48.37</v>
      </c>
      <c r="E1548" s="11"/>
      <c r="F1548" s="9"/>
    </row>
    <row r="1549" s="1" customFormat="1" customHeight="1" spans="1:6">
      <c r="A1549" s="9" t="str">
        <f>"10182105217"</f>
        <v>10182105217</v>
      </c>
      <c r="B1549" s="10">
        <v>32.17</v>
      </c>
      <c r="C1549" s="9"/>
      <c r="D1549" s="9">
        <f t="shared" si="24"/>
        <v>32.17</v>
      </c>
      <c r="E1549" s="11"/>
      <c r="F1549" s="9"/>
    </row>
    <row r="1550" s="1" customFormat="1" customHeight="1" spans="1:6">
      <c r="A1550" s="9" t="str">
        <f>"10102105218"</f>
        <v>10102105218</v>
      </c>
      <c r="B1550" s="10">
        <v>48.59</v>
      </c>
      <c r="C1550" s="9"/>
      <c r="D1550" s="9">
        <f t="shared" si="24"/>
        <v>48.59</v>
      </c>
      <c r="E1550" s="11"/>
      <c r="F1550" s="9"/>
    </row>
    <row r="1551" s="1" customFormat="1" customHeight="1" spans="1:6">
      <c r="A1551" s="9" t="str">
        <f>"10362105219"</f>
        <v>10362105219</v>
      </c>
      <c r="B1551" s="10">
        <v>40.65</v>
      </c>
      <c r="C1551" s="9"/>
      <c r="D1551" s="9">
        <f t="shared" si="24"/>
        <v>40.65</v>
      </c>
      <c r="E1551" s="11"/>
      <c r="F1551" s="9"/>
    </row>
    <row r="1552" s="1" customFormat="1" customHeight="1" spans="1:6">
      <c r="A1552" s="9" t="str">
        <f>"10152105220"</f>
        <v>10152105220</v>
      </c>
      <c r="B1552" s="10">
        <v>0</v>
      </c>
      <c r="C1552" s="9"/>
      <c r="D1552" s="9">
        <f t="shared" si="24"/>
        <v>0</v>
      </c>
      <c r="E1552" s="11"/>
      <c r="F1552" s="9" t="s">
        <v>7</v>
      </c>
    </row>
    <row r="1553" s="1" customFormat="1" customHeight="1" spans="1:6">
      <c r="A1553" s="9" t="str">
        <f>"10362105221"</f>
        <v>10362105221</v>
      </c>
      <c r="B1553" s="10">
        <v>44.85</v>
      </c>
      <c r="C1553" s="9"/>
      <c r="D1553" s="9">
        <f t="shared" si="24"/>
        <v>44.85</v>
      </c>
      <c r="E1553" s="11"/>
      <c r="F1553" s="9"/>
    </row>
    <row r="1554" s="1" customFormat="1" customHeight="1" spans="1:6">
      <c r="A1554" s="9" t="str">
        <f>"10132105222"</f>
        <v>10132105222</v>
      </c>
      <c r="B1554" s="10">
        <v>42.73</v>
      </c>
      <c r="C1554" s="9"/>
      <c r="D1554" s="9">
        <f t="shared" si="24"/>
        <v>42.73</v>
      </c>
      <c r="E1554" s="11"/>
      <c r="F1554" s="9"/>
    </row>
    <row r="1555" s="1" customFormat="1" customHeight="1" spans="1:6">
      <c r="A1555" s="9" t="str">
        <f>"10362105223"</f>
        <v>10362105223</v>
      </c>
      <c r="B1555" s="10">
        <v>35.15</v>
      </c>
      <c r="C1555" s="9"/>
      <c r="D1555" s="9">
        <f t="shared" si="24"/>
        <v>35.15</v>
      </c>
      <c r="E1555" s="11"/>
      <c r="F1555" s="9"/>
    </row>
    <row r="1556" s="1" customFormat="1" customHeight="1" spans="1:6">
      <c r="A1556" s="9" t="str">
        <f>"10532105224"</f>
        <v>10532105224</v>
      </c>
      <c r="B1556" s="10">
        <v>0</v>
      </c>
      <c r="C1556" s="9"/>
      <c r="D1556" s="9">
        <f t="shared" si="24"/>
        <v>0</v>
      </c>
      <c r="E1556" s="11"/>
      <c r="F1556" s="9" t="s">
        <v>7</v>
      </c>
    </row>
    <row r="1557" s="1" customFormat="1" customHeight="1" spans="1:6">
      <c r="A1557" s="9" t="str">
        <f>"10142105225"</f>
        <v>10142105225</v>
      </c>
      <c r="B1557" s="10">
        <v>0</v>
      </c>
      <c r="C1557" s="9"/>
      <c r="D1557" s="9">
        <f t="shared" si="24"/>
        <v>0</v>
      </c>
      <c r="E1557" s="11"/>
      <c r="F1557" s="9" t="s">
        <v>7</v>
      </c>
    </row>
    <row r="1558" s="1" customFormat="1" customHeight="1" spans="1:6">
      <c r="A1558" s="9" t="str">
        <f>"10432105226"</f>
        <v>10432105226</v>
      </c>
      <c r="B1558" s="10">
        <v>49.12</v>
      </c>
      <c r="C1558" s="9"/>
      <c r="D1558" s="9">
        <f t="shared" si="24"/>
        <v>49.12</v>
      </c>
      <c r="E1558" s="11"/>
      <c r="F1558" s="9"/>
    </row>
    <row r="1559" s="1" customFormat="1" customHeight="1" spans="1:6">
      <c r="A1559" s="9" t="str">
        <f>"10502105227"</f>
        <v>10502105227</v>
      </c>
      <c r="B1559" s="10">
        <v>41.25</v>
      </c>
      <c r="C1559" s="9"/>
      <c r="D1559" s="9">
        <f t="shared" si="24"/>
        <v>41.25</v>
      </c>
      <c r="E1559" s="11"/>
      <c r="F1559" s="9"/>
    </row>
    <row r="1560" s="1" customFormat="1" customHeight="1" spans="1:6">
      <c r="A1560" s="9" t="str">
        <f>"10362105228"</f>
        <v>10362105228</v>
      </c>
      <c r="B1560" s="10">
        <v>37.67</v>
      </c>
      <c r="C1560" s="9"/>
      <c r="D1560" s="9">
        <f t="shared" si="24"/>
        <v>37.67</v>
      </c>
      <c r="E1560" s="11"/>
      <c r="F1560" s="9"/>
    </row>
    <row r="1561" s="1" customFormat="1" customHeight="1" spans="1:6">
      <c r="A1561" s="9" t="str">
        <f>"10122105229"</f>
        <v>10122105229</v>
      </c>
      <c r="B1561" s="10">
        <v>0</v>
      </c>
      <c r="C1561" s="9"/>
      <c r="D1561" s="9">
        <f t="shared" si="24"/>
        <v>0</v>
      </c>
      <c r="E1561" s="11"/>
      <c r="F1561" s="9" t="s">
        <v>7</v>
      </c>
    </row>
    <row r="1562" s="1" customFormat="1" customHeight="1" spans="1:6">
      <c r="A1562" s="9" t="str">
        <f>"10142105230"</f>
        <v>10142105230</v>
      </c>
      <c r="B1562" s="10">
        <v>0</v>
      </c>
      <c r="C1562" s="9"/>
      <c r="D1562" s="9">
        <f t="shared" si="24"/>
        <v>0</v>
      </c>
      <c r="E1562" s="11"/>
      <c r="F1562" s="9" t="s">
        <v>7</v>
      </c>
    </row>
    <row r="1563" s="1" customFormat="1" customHeight="1" spans="1:6">
      <c r="A1563" s="9" t="str">
        <f>"10532105301"</f>
        <v>10532105301</v>
      </c>
      <c r="B1563" s="10">
        <v>34.06</v>
      </c>
      <c r="C1563" s="9"/>
      <c r="D1563" s="9">
        <f t="shared" si="24"/>
        <v>34.06</v>
      </c>
      <c r="E1563" s="11"/>
      <c r="F1563" s="9"/>
    </row>
    <row r="1564" s="1" customFormat="1" customHeight="1" spans="1:6">
      <c r="A1564" s="9" t="str">
        <f>"10332105302"</f>
        <v>10332105302</v>
      </c>
      <c r="B1564" s="10">
        <v>0</v>
      </c>
      <c r="C1564" s="9"/>
      <c r="D1564" s="9">
        <f t="shared" si="24"/>
        <v>0</v>
      </c>
      <c r="E1564" s="11"/>
      <c r="F1564" s="9" t="s">
        <v>7</v>
      </c>
    </row>
    <row r="1565" s="1" customFormat="1" customHeight="1" spans="1:6">
      <c r="A1565" s="9" t="str">
        <f>"10502105303"</f>
        <v>10502105303</v>
      </c>
      <c r="B1565" s="10">
        <v>0</v>
      </c>
      <c r="C1565" s="9"/>
      <c r="D1565" s="9">
        <f t="shared" si="24"/>
        <v>0</v>
      </c>
      <c r="E1565" s="11"/>
      <c r="F1565" s="9" t="s">
        <v>7</v>
      </c>
    </row>
    <row r="1566" s="1" customFormat="1" customHeight="1" spans="1:6">
      <c r="A1566" s="9" t="str">
        <f>"10062105304"</f>
        <v>10062105304</v>
      </c>
      <c r="B1566" s="10">
        <v>32.62</v>
      </c>
      <c r="C1566" s="9"/>
      <c r="D1566" s="9">
        <f t="shared" si="24"/>
        <v>32.62</v>
      </c>
      <c r="E1566" s="11"/>
      <c r="F1566" s="9"/>
    </row>
    <row r="1567" s="1" customFormat="1" customHeight="1" spans="1:6">
      <c r="A1567" s="9" t="str">
        <f>"10082105305"</f>
        <v>10082105305</v>
      </c>
      <c r="B1567" s="10">
        <v>37.67</v>
      </c>
      <c r="C1567" s="9"/>
      <c r="D1567" s="9">
        <f t="shared" si="24"/>
        <v>37.67</v>
      </c>
      <c r="E1567" s="11"/>
      <c r="F1567" s="9"/>
    </row>
    <row r="1568" s="1" customFormat="1" customHeight="1" spans="1:6">
      <c r="A1568" s="9" t="str">
        <f>"10172105306"</f>
        <v>10172105306</v>
      </c>
      <c r="B1568" s="10">
        <v>75.44</v>
      </c>
      <c r="C1568" s="9"/>
      <c r="D1568" s="9">
        <f t="shared" si="24"/>
        <v>75.44</v>
      </c>
      <c r="E1568" s="11"/>
      <c r="F1568" s="9"/>
    </row>
    <row r="1569" s="1" customFormat="1" customHeight="1" spans="1:6">
      <c r="A1569" s="9" t="str">
        <f>"10362105307"</f>
        <v>10362105307</v>
      </c>
      <c r="B1569" s="10">
        <v>0</v>
      </c>
      <c r="C1569" s="9"/>
      <c r="D1569" s="9">
        <f t="shared" si="24"/>
        <v>0</v>
      </c>
      <c r="E1569" s="11"/>
      <c r="F1569" s="9" t="s">
        <v>7</v>
      </c>
    </row>
    <row r="1570" s="1" customFormat="1" customHeight="1" spans="1:6">
      <c r="A1570" s="9" t="str">
        <f>"10132105308"</f>
        <v>10132105308</v>
      </c>
      <c r="B1570" s="10">
        <v>42.69</v>
      </c>
      <c r="C1570" s="9"/>
      <c r="D1570" s="9">
        <f t="shared" si="24"/>
        <v>42.69</v>
      </c>
      <c r="E1570" s="11"/>
      <c r="F1570" s="9"/>
    </row>
    <row r="1571" s="1" customFormat="1" customHeight="1" spans="1:6">
      <c r="A1571" s="9" t="str">
        <f>"10522105309"</f>
        <v>10522105309</v>
      </c>
      <c r="B1571" s="10">
        <v>0</v>
      </c>
      <c r="C1571" s="9">
        <v>10</v>
      </c>
      <c r="D1571" s="9">
        <f t="shared" si="24"/>
        <v>10</v>
      </c>
      <c r="E1571" s="12" t="s">
        <v>8</v>
      </c>
      <c r="F1571" s="9" t="s">
        <v>7</v>
      </c>
    </row>
    <row r="1572" s="1" customFormat="1" customHeight="1" spans="1:6">
      <c r="A1572" s="9" t="str">
        <f>"10532105310"</f>
        <v>10532105310</v>
      </c>
      <c r="B1572" s="10">
        <v>40.96</v>
      </c>
      <c r="C1572" s="9"/>
      <c r="D1572" s="9">
        <f t="shared" si="24"/>
        <v>40.96</v>
      </c>
      <c r="E1572" s="11"/>
      <c r="F1572" s="9"/>
    </row>
    <row r="1573" s="1" customFormat="1" customHeight="1" spans="1:6">
      <c r="A1573" s="9" t="str">
        <f>"10352105311"</f>
        <v>10352105311</v>
      </c>
      <c r="B1573" s="10">
        <v>41.57</v>
      </c>
      <c r="C1573" s="9"/>
      <c r="D1573" s="9">
        <f t="shared" si="24"/>
        <v>41.57</v>
      </c>
      <c r="E1573" s="11"/>
      <c r="F1573" s="9"/>
    </row>
    <row r="1574" s="1" customFormat="1" customHeight="1" spans="1:6">
      <c r="A1574" s="9" t="str">
        <f>"10362105312"</f>
        <v>10362105312</v>
      </c>
      <c r="B1574" s="10">
        <v>0</v>
      </c>
      <c r="C1574" s="9"/>
      <c r="D1574" s="9">
        <f t="shared" si="24"/>
        <v>0</v>
      </c>
      <c r="E1574" s="11"/>
      <c r="F1574" s="9" t="s">
        <v>7</v>
      </c>
    </row>
    <row r="1575" s="1" customFormat="1" customHeight="1" spans="1:6">
      <c r="A1575" s="9" t="str">
        <f>"10102105313"</f>
        <v>10102105313</v>
      </c>
      <c r="B1575" s="10">
        <v>0</v>
      </c>
      <c r="C1575" s="9"/>
      <c r="D1575" s="9">
        <f t="shared" si="24"/>
        <v>0</v>
      </c>
      <c r="E1575" s="11"/>
      <c r="F1575" s="9" t="s">
        <v>7</v>
      </c>
    </row>
    <row r="1576" s="1" customFormat="1" customHeight="1" spans="1:6">
      <c r="A1576" s="9" t="str">
        <f>"10332105314"</f>
        <v>10332105314</v>
      </c>
      <c r="B1576" s="10">
        <v>0</v>
      </c>
      <c r="C1576" s="9"/>
      <c r="D1576" s="9">
        <f t="shared" si="24"/>
        <v>0</v>
      </c>
      <c r="E1576" s="11"/>
      <c r="F1576" s="9" t="s">
        <v>7</v>
      </c>
    </row>
    <row r="1577" s="1" customFormat="1" customHeight="1" spans="1:6">
      <c r="A1577" s="9" t="str">
        <f>"10362105315"</f>
        <v>10362105315</v>
      </c>
      <c r="B1577" s="10">
        <v>0</v>
      </c>
      <c r="C1577" s="9"/>
      <c r="D1577" s="9">
        <f t="shared" si="24"/>
        <v>0</v>
      </c>
      <c r="E1577" s="11"/>
      <c r="F1577" s="9" t="s">
        <v>7</v>
      </c>
    </row>
    <row r="1578" s="1" customFormat="1" customHeight="1" spans="1:6">
      <c r="A1578" s="9" t="str">
        <f>"10362105316"</f>
        <v>10362105316</v>
      </c>
      <c r="B1578" s="10">
        <v>31.91</v>
      </c>
      <c r="C1578" s="9"/>
      <c r="D1578" s="9">
        <f t="shared" si="24"/>
        <v>31.91</v>
      </c>
      <c r="E1578" s="11"/>
      <c r="F1578" s="9"/>
    </row>
    <row r="1579" s="1" customFormat="1" customHeight="1" spans="1:6">
      <c r="A1579" s="9" t="str">
        <f>"10112105317"</f>
        <v>10112105317</v>
      </c>
      <c r="B1579" s="10">
        <v>36.71</v>
      </c>
      <c r="C1579" s="9"/>
      <c r="D1579" s="9">
        <f t="shared" si="24"/>
        <v>36.71</v>
      </c>
      <c r="E1579" s="11"/>
      <c r="F1579" s="9"/>
    </row>
    <row r="1580" s="1" customFormat="1" customHeight="1" spans="1:6">
      <c r="A1580" s="9" t="str">
        <f>"10282105318"</f>
        <v>10282105318</v>
      </c>
      <c r="B1580" s="10">
        <v>46.58</v>
      </c>
      <c r="C1580" s="9"/>
      <c r="D1580" s="9">
        <f t="shared" si="24"/>
        <v>46.58</v>
      </c>
      <c r="E1580" s="11"/>
      <c r="F1580" s="9"/>
    </row>
    <row r="1581" s="1" customFormat="1" customHeight="1" spans="1:6">
      <c r="A1581" s="9" t="str">
        <f>"10202105319"</f>
        <v>10202105319</v>
      </c>
      <c r="B1581" s="10">
        <v>0</v>
      </c>
      <c r="C1581" s="9"/>
      <c r="D1581" s="9">
        <f t="shared" si="24"/>
        <v>0</v>
      </c>
      <c r="E1581" s="11"/>
      <c r="F1581" s="9" t="s">
        <v>7</v>
      </c>
    </row>
    <row r="1582" s="1" customFormat="1" customHeight="1" spans="1:6">
      <c r="A1582" s="9" t="str">
        <f>"10132105320"</f>
        <v>10132105320</v>
      </c>
      <c r="B1582" s="10">
        <v>38.79</v>
      </c>
      <c r="C1582" s="9"/>
      <c r="D1582" s="9">
        <f t="shared" si="24"/>
        <v>38.79</v>
      </c>
      <c r="E1582" s="11"/>
      <c r="F1582" s="9"/>
    </row>
    <row r="1583" s="1" customFormat="1" customHeight="1" spans="1:6">
      <c r="A1583" s="9" t="str">
        <f>"10362105321"</f>
        <v>10362105321</v>
      </c>
      <c r="B1583" s="10">
        <v>48.69</v>
      </c>
      <c r="C1583" s="9"/>
      <c r="D1583" s="9">
        <f t="shared" si="24"/>
        <v>48.69</v>
      </c>
      <c r="E1583" s="11"/>
      <c r="F1583" s="9"/>
    </row>
    <row r="1584" s="1" customFormat="1" customHeight="1" spans="1:6">
      <c r="A1584" s="9" t="str">
        <f>"10332105322"</f>
        <v>10332105322</v>
      </c>
      <c r="B1584" s="10">
        <v>38.63</v>
      </c>
      <c r="C1584" s="9"/>
      <c r="D1584" s="9">
        <f t="shared" si="24"/>
        <v>38.63</v>
      </c>
      <c r="E1584" s="11"/>
      <c r="F1584" s="9"/>
    </row>
    <row r="1585" s="1" customFormat="1" customHeight="1" spans="1:6">
      <c r="A1585" s="9" t="str">
        <f>"10362105323"</f>
        <v>10362105323</v>
      </c>
      <c r="B1585" s="10">
        <v>0</v>
      </c>
      <c r="C1585" s="9"/>
      <c r="D1585" s="9">
        <f t="shared" si="24"/>
        <v>0</v>
      </c>
      <c r="E1585" s="11"/>
      <c r="F1585" s="9" t="s">
        <v>7</v>
      </c>
    </row>
    <row r="1586" s="1" customFormat="1" customHeight="1" spans="1:6">
      <c r="A1586" s="9" t="str">
        <f>"10312105324"</f>
        <v>10312105324</v>
      </c>
      <c r="B1586" s="10">
        <v>0</v>
      </c>
      <c r="C1586" s="9"/>
      <c r="D1586" s="9">
        <f t="shared" si="24"/>
        <v>0</v>
      </c>
      <c r="E1586" s="11"/>
      <c r="F1586" s="9" t="s">
        <v>7</v>
      </c>
    </row>
    <row r="1587" s="1" customFormat="1" customHeight="1" spans="1:6">
      <c r="A1587" s="9" t="str">
        <f>"10112105325"</f>
        <v>10112105325</v>
      </c>
      <c r="B1587" s="10">
        <v>37.57</v>
      </c>
      <c r="C1587" s="9"/>
      <c r="D1587" s="9">
        <f t="shared" si="24"/>
        <v>37.57</v>
      </c>
      <c r="E1587" s="11"/>
      <c r="F1587" s="9"/>
    </row>
    <row r="1588" s="1" customFormat="1" customHeight="1" spans="1:6">
      <c r="A1588" s="9" t="str">
        <f>"10282105326"</f>
        <v>10282105326</v>
      </c>
      <c r="B1588" s="10">
        <v>0</v>
      </c>
      <c r="C1588" s="9"/>
      <c r="D1588" s="9">
        <f t="shared" si="24"/>
        <v>0</v>
      </c>
      <c r="E1588" s="11"/>
      <c r="F1588" s="9" t="s">
        <v>7</v>
      </c>
    </row>
    <row r="1589" s="1" customFormat="1" customHeight="1" spans="1:6">
      <c r="A1589" s="9" t="str">
        <f>"20272105327"</f>
        <v>20272105327</v>
      </c>
      <c r="B1589" s="10">
        <v>35.77</v>
      </c>
      <c r="C1589" s="9"/>
      <c r="D1589" s="9">
        <f t="shared" si="24"/>
        <v>35.77</v>
      </c>
      <c r="E1589" s="11"/>
      <c r="F1589" s="9"/>
    </row>
    <row r="1590" s="1" customFormat="1" customHeight="1" spans="1:6">
      <c r="A1590" s="9" t="str">
        <f>"10482105328"</f>
        <v>10482105328</v>
      </c>
      <c r="B1590" s="10">
        <v>0</v>
      </c>
      <c r="C1590" s="9"/>
      <c r="D1590" s="9">
        <f t="shared" si="24"/>
        <v>0</v>
      </c>
      <c r="E1590" s="11"/>
      <c r="F1590" s="9" t="s">
        <v>7</v>
      </c>
    </row>
    <row r="1591" s="1" customFormat="1" customHeight="1" spans="1:6">
      <c r="A1591" s="9" t="str">
        <f>"10362105329"</f>
        <v>10362105329</v>
      </c>
      <c r="B1591" s="10">
        <v>35.03</v>
      </c>
      <c r="C1591" s="9">
        <v>10</v>
      </c>
      <c r="D1591" s="9">
        <f t="shared" si="24"/>
        <v>45.03</v>
      </c>
      <c r="E1591" s="12" t="s">
        <v>8</v>
      </c>
      <c r="F1591" s="9"/>
    </row>
    <row r="1592" s="1" customFormat="1" customHeight="1" spans="1:6">
      <c r="A1592" s="9" t="str">
        <f>"10432105330"</f>
        <v>10432105330</v>
      </c>
      <c r="B1592" s="10">
        <v>0</v>
      </c>
      <c r="C1592" s="9"/>
      <c r="D1592" s="9">
        <f t="shared" si="24"/>
        <v>0</v>
      </c>
      <c r="E1592" s="11"/>
      <c r="F1592" s="9" t="s">
        <v>7</v>
      </c>
    </row>
    <row r="1593" s="1" customFormat="1" customHeight="1" spans="1:6">
      <c r="A1593" s="9" t="str">
        <f>"10142105401"</f>
        <v>10142105401</v>
      </c>
      <c r="B1593" s="10">
        <v>42.23</v>
      </c>
      <c r="C1593" s="9"/>
      <c r="D1593" s="9">
        <f t="shared" si="24"/>
        <v>42.23</v>
      </c>
      <c r="E1593" s="11"/>
      <c r="F1593" s="9"/>
    </row>
    <row r="1594" s="1" customFormat="1" customHeight="1" spans="1:6">
      <c r="A1594" s="9" t="str">
        <f>"10502105402"</f>
        <v>10502105402</v>
      </c>
      <c r="B1594" s="10">
        <v>0</v>
      </c>
      <c r="C1594" s="9"/>
      <c r="D1594" s="9">
        <f t="shared" si="24"/>
        <v>0</v>
      </c>
      <c r="E1594" s="11"/>
      <c r="F1594" s="9" t="s">
        <v>7</v>
      </c>
    </row>
    <row r="1595" s="1" customFormat="1" customHeight="1" spans="1:6">
      <c r="A1595" s="9" t="str">
        <f>"10362105403"</f>
        <v>10362105403</v>
      </c>
      <c r="B1595" s="10">
        <v>0</v>
      </c>
      <c r="C1595" s="9"/>
      <c r="D1595" s="9">
        <f t="shared" si="24"/>
        <v>0</v>
      </c>
      <c r="E1595" s="11"/>
      <c r="F1595" s="9" t="s">
        <v>7</v>
      </c>
    </row>
    <row r="1596" s="1" customFormat="1" customHeight="1" spans="1:6">
      <c r="A1596" s="9" t="str">
        <f>"10502105404"</f>
        <v>10502105404</v>
      </c>
      <c r="B1596" s="10">
        <v>36.07</v>
      </c>
      <c r="C1596" s="9"/>
      <c r="D1596" s="9">
        <f t="shared" si="24"/>
        <v>36.07</v>
      </c>
      <c r="E1596" s="11"/>
      <c r="F1596" s="9"/>
    </row>
    <row r="1597" s="1" customFormat="1" customHeight="1" spans="1:6">
      <c r="A1597" s="9" t="str">
        <f>"10382105405"</f>
        <v>10382105405</v>
      </c>
      <c r="B1597" s="10">
        <v>39.86</v>
      </c>
      <c r="C1597" s="9"/>
      <c r="D1597" s="9">
        <f t="shared" si="24"/>
        <v>39.86</v>
      </c>
      <c r="E1597" s="11"/>
      <c r="F1597" s="9"/>
    </row>
    <row r="1598" s="1" customFormat="1" customHeight="1" spans="1:6">
      <c r="A1598" s="9" t="str">
        <f>"10232105406"</f>
        <v>10232105406</v>
      </c>
      <c r="B1598" s="10">
        <v>0</v>
      </c>
      <c r="C1598" s="9"/>
      <c r="D1598" s="9">
        <f t="shared" si="24"/>
        <v>0</v>
      </c>
      <c r="E1598" s="11"/>
      <c r="F1598" s="9" t="s">
        <v>7</v>
      </c>
    </row>
    <row r="1599" s="1" customFormat="1" customHeight="1" spans="1:6">
      <c r="A1599" s="9" t="str">
        <f>"10212105407"</f>
        <v>10212105407</v>
      </c>
      <c r="B1599" s="10">
        <v>37.65</v>
      </c>
      <c r="C1599" s="9"/>
      <c r="D1599" s="9">
        <f t="shared" si="24"/>
        <v>37.65</v>
      </c>
      <c r="E1599" s="11"/>
      <c r="F1599" s="9"/>
    </row>
    <row r="1600" s="1" customFormat="1" customHeight="1" spans="1:6">
      <c r="A1600" s="9" t="str">
        <f>"10232105408"</f>
        <v>10232105408</v>
      </c>
      <c r="B1600" s="10">
        <v>39.06</v>
      </c>
      <c r="C1600" s="9"/>
      <c r="D1600" s="9">
        <f t="shared" si="24"/>
        <v>39.06</v>
      </c>
      <c r="E1600" s="11"/>
      <c r="F1600" s="9"/>
    </row>
    <row r="1601" s="1" customFormat="1" customHeight="1" spans="1:6">
      <c r="A1601" s="9" t="str">
        <f>"10132105409"</f>
        <v>10132105409</v>
      </c>
      <c r="B1601" s="10">
        <v>36.94</v>
      </c>
      <c r="C1601" s="9"/>
      <c r="D1601" s="9">
        <f t="shared" si="24"/>
        <v>36.94</v>
      </c>
      <c r="E1601" s="11"/>
      <c r="F1601" s="9"/>
    </row>
    <row r="1602" s="1" customFormat="1" customHeight="1" spans="1:6">
      <c r="A1602" s="9" t="str">
        <f>"10372105410"</f>
        <v>10372105410</v>
      </c>
      <c r="B1602" s="10">
        <v>47.06</v>
      </c>
      <c r="C1602" s="9"/>
      <c r="D1602" s="9">
        <f t="shared" si="24"/>
        <v>47.06</v>
      </c>
      <c r="E1602" s="11"/>
      <c r="F1602" s="9"/>
    </row>
    <row r="1603" s="1" customFormat="1" customHeight="1" spans="1:6">
      <c r="A1603" s="9" t="str">
        <f>"10442105411"</f>
        <v>10442105411</v>
      </c>
      <c r="B1603" s="10">
        <v>44.17</v>
      </c>
      <c r="C1603" s="9"/>
      <c r="D1603" s="9">
        <f t="shared" ref="D1603:D1666" si="25">SUM(B1603:C1603)</f>
        <v>44.17</v>
      </c>
      <c r="E1603" s="11"/>
      <c r="F1603" s="9"/>
    </row>
    <row r="1604" s="1" customFormat="1" customHeight="1" spans="1:6">
      <c r="A1604" s="9" t="str">
        <f>"10052105412"</f>
        <v>10052105412</v>
      </c>
      <c r="B1604" s="10">
        <v>0</v>
      </c>
      <c r="C1604" s="9"/>
      <c r="D1604" s="9">
        <f t="shared" si="25"/>
        <v>0</v>
      </c>
      <c r="E1604" s="11"/>
      <c r="F1604" s="9" t="s">
        <v>7</v>
      </c>
    </row>
    <row r="1605" s="1" customFormat="1" customHeight="1" spans="1:6">
      <c r="A1605" s="9" t="str">
        <f>"10212105413"</f>
        <v>10212105413</v>
      </c>
      <c r="B1605" s="10">
        <v>0</v>
      </c>
      <c r="C1605" s="9"/>
      <c r="D1605" s="9">
        <f t="shared" si="25"/>
        <v>0</v>
      </c>
      <c r="E1605" s="11"/>
      <c r="F1605" s="9" t="s">
        <v>7</v>
      </c>
    </row>
    <row r="1606" s="1" customFormat="1" customHeight="1" spans="1:6">
      <c r="A1606" s="9" t="str">
        <f>"10362105414"</f>
        <v>10362105414</v>
      </c>
      <c r="B1606" s="10">
        <v>0</v>
      </c>
      <c r="C1606" s="9"/>
      <c r="D1606" s="9">
        <f t="shared" si="25"/>
        <v>0</v>
      </c>
      <c r="E1606" s="11"/>
      <c r="F1606" s="9" t="s">
        <v>7</v>
      </c>
    </row>
    <row r="1607" s="1" customFormat="1" customHeight="1" spans="1:6">
      <c r="A1607" s="9" t="str">
        <f>"10362105415"</f>
        <v>10362105415</v>
      </c>
      <c r="B1607" s="10">
        <v>40.56</v>
      </c>
      <c r="C1607" s="9"/>
      <c r="D1607" s="9">
        <f t="shared" si="25"/>
        <v>40.56</v>
      </c>
      <c r="E1607" s="11"/>
      <c r="F1607" s="9"/>
    </row>
    <row r="1608" s="1" customFormat="1" customHeight="1" spans="1:6">
      <c r="A1608" s="9" t="str">
        <f>"10302105416"</f>
        <v>10302105416</v>
      </c>
      <c r="B1608" s="10">
        <v>44.23</v>
      </c>
      <c r="C1608" s="9"/>
      <c r="D1608" s="9">
        <f t="shared" si="25"/>
        <v>44.23</v>
      </c>
      <c r="E1608" s="11"/>
      <c r="F1608" s="9"/>
    </row>
    <row r="1609" s="1" customFormat="1" customHeight="1" spans="1:6">
      <c r="A1609" s="9" t="str">
        <f>"10302105417"</f>
        <v>10302105417</v>
      </c>
      <c r="B1609" s="10">
        <v>0</v>
      </c>
      <c r="C1609" s="9"/>
      <c r="D1609" s="9">
        <f t="shared" si="25"/>
        <v>0</v>
      </c>
      <c r="E1609" s="11"/>
      <c r="F1609" s="9" t="s">
        <v>7</v>
      </c>
    </row>
    <row r="1610" s="1" customFormat="1" customHeight="1" spans="1:6">
      <c r="A1610" s="9" t="str">
        <f>"10092105418"</f>
        <v>10092105418</v>
      </c>
      <c r="B1610" s="10">
        <v>0</v>
      </c>
      <c r="C1610" s="9"/>
      <c r="D1610" s="9">
        <f t="shared" si="25"/>
        <v>0</v>
      </c>
      <c r="E1610" s="11"/>
      <c r="F1610" s="9" t="s">
        <v>7</v>
      </c>
    </row>
    <row r="1611" s="1" customFormat="1" customHeight="1" spans="1:6">
      <c r="A1611" s="9" t="str">
        <f>"10112105419"</f>
        <v>10112105419</v>
      </c>
      <c r="B1611" s="10">
        <v>38.25</v>
      </c>
      <c r="C1611" s="9"/>
      <c r="D1611" s="9">
        <f t="shared" si="25"/>
        <v>38.25</v>
      </c>
      <c r="E1611" s="11"/>
      <c r="F1611" s="9"/>
    </row>
    <row r="1612" s="1" customFormat="1" customHeight="1" spans="1:6">
      <c r="A1612" s="9" t="str">
        <f>"10332105420"</f>
        <v>10332105420</v>
      </c>
      <c r="B1612" s="10">
        <v>50.73</v>
      </c>
      <c r="C1612" s="9">
        <v>10</v>
      </c>
      <c r="D1612" s="9">
        <f t="shared" si="25"/>
        <v>60.73</v>
      </c>
      <c r="E1612" s="12" t="s">
        <v>8</v>
      </c>
      <c r="F1612" s="9"/>
    </row>
    <row r="1613" s="1" customFormat="1" customHeight="1" spans="1:6">
      <c r="A1613" s="9" t="str">
        <f>"10372105421"</f>
        <v>10372105421</v>
      </c>
      <c r="B1613" s="10">
        <v>41.09</v>
      </c>
      <c r="C1613" s="9"/>
      <c r="D1613" s="9">
        <f t="shared" si="25"/>
        <v>41.09</v>
      </c>
      <c r="E1613" s="11"/>
      <c r="F1613" s="9"/>
    </row>
    <row r="1614" s="1" customFormat="1" customHeight="1" spans="1:6">
      <c r="A1614" s="9" t="str">
        <f>"10022105422"</f>
        <v>10022105422</v>
      </c>
      <c r="B1614" s="10">
        <v>45.83</v>
      </c>
      <c r="C1614" s="9"/>
      <c r="D1614" s="9">
        <f t="shared" si="25"/>
        <v>45.83</v>
      </c>
      <c r="E1614" s="11"/>
      <c r="F1614" s="9"/>
    </row>
    <row r="1615" s="1" customFormat="1" customHeight="1" spans="1:6">
      <c r="A1615" s="9" t="str">
        <f>"10272105423"</f>
        <v>10272105423</v>
      </c>
      <c r="B1615" s="10">
        <v>31.64</v>
      </c>
      <c r="C1615" s="9"/>
      <c r="D1615" s="9">
        <f t="shared" si="25"/>
        <v>31.64</v>
      </c>
      <c r="E1615" s="11"/>
      <c r="F1615" s="9"/>
    </row>
    <row r="1616" s="1" customFormat="1" customHeight="1" spans="1:6">
      <c r="A1616" s="9" t="str">
        <f>"10192105424"</f>
        <v>10192105424</v>
      </c>
      <c r="B1616" s="10">
        <v>33.25</v>
      </c>
      <c r="C1616" s="9"/>
      <c r="D1616" s="9">
        <f t="shared" si="25"/>
        <v>33.25</v>
      </c>
      <c r="E1616" s="11"/>
      <c r="F1616" s="9"/>
    </row>
    <row r="1617" s="1" customFormat="1" customHeight="1" spans="1:6">
      <c r="A1617" s="9" t="str">
        <f>"10362105425"</f>
        <v>10362105425</v>
      </c>
      <c r="B1617" s="10">
        <v>38.96</v>
      </c>
      <c r="C1617" s="9"/>
      <c r="D1617" s="9">
        <f t="shared" si="25"/>
        <v>38.96</v>
      </c>
      <c r="E1617" s="11"/>
      <c r="F1617" s="9"/>
    </row>
    <row r="1618" s="1" customFormat="1" customHeight="1" spans="1:6">
      <c r="A1618" s="9" t="str">
        <f>"10532105426"</f>
        <v>10532105426</v>
      </c>
      <c r="B1618" s="10">
        <v>57.19</v>
      </c>
      <c r="C1618" s="9"/>
      <c r="D1618" s="9">
        <f t="shared" si="25"/>
        <v>57.19</v>
      </c>
      <c r="E1618" s="11"/>
      <c r="F1618" s="9"/>
    </row>
    <row r="1619" s="1" customFormat="1" customHeight="1" spans="1:6">
      <c r="A1619" s="9" t="str">
        <f>"10532105427"</f>
        <v>10532105427</v>
      </c>
      <c r="B1619" s="10">
        <v>31.05</v>
      </c>
      <c r="C1619" s="9"/>
      <c r="D1619" s="9">
        <f t="shared" si="25"/>
        <v>31.05</v>
      </c>
      <c r="E1619" s="11"/>
      <c r="F1619" s="9"/>
    </row>
    <row r="1620" s="1" customFormat="1" customHeight="1" spans="1:6">
      <c r="A1620" s="9" t="str">
        <f>"10302105428"</f>
        <v>10302105428</v>
      </c>
      <c r="B1620" s="10">
        <v>0</v>
      </c>
      <c r="C1620" s="9"/>
      <c r="D1620" s="9">
        <f t="shared" si="25"/>
        <v>0</v>
      </c>
      <c r="E1620" s="11"/>
      <c r="F1620" s="9" t="s">
        <v>7</v>
      </c>
    </row>
    <row r="1621" s="1" customFormat="1" customHeight="1" spans="1:6">
      <c r="A1621" s="9" t="str">
        <f>"10532105429"</f>
        <v>10532105429</v>
      </c>
      <c r="B1621" s="10">
        <v>35.14</v>
      </c>
      <c r="C1621" s="9"/>
      <c r="D1621" s="9">
        <f t="shared" si="25"/>
        <v>35.14</v>
      </c>
      <c r="E1621" s="11"/>
      <c r="F1621" s="9"/>
    </row>
    <row r="1622" s="1" customFormat="1" customHeight="1" spans="1:6">
      <c r="A1622" s="9" t="str">
        <f>"10502105430"</f>
        <v>10502105430</v>
      </c>
      <c r="B1622" s="10">
        <v>39.54</v>
      </c>
      <c r="C1622" s="9"/>
      <c r="D1622" s="9">
        <f t="shared" si="25"/>
        <v>39.54</v>
      </c>
      <c r="E1622" s="11"/>
      <c r="F1622" s="9"/>
    </row>
    <row r="1623" s="1" customFormat="1" customHeight="1" spans="1:6">
      <c r="A1623" s="9" t="str">
        <f>"10042105501"</f>
        <v>10042105501</v>
      </c>
      <c r="B1623" s="10">
        <v>46.31</v>
      </c>
      <c r="C1623" s="9"/>
      <c r="D1623" s="9">
        <f t="shared" si="25"/>
        <v>46.31</v>
      </c>
      <c r="E1623" s="11"/>
      <c r="F1623" s="9"/>
    </row>
    <row r="1624" s="1" customFormat="1" customHeight="1" spans="1:6">
      <c r="A1624" s="9" t="str">
        <f>"10062105502"</f>
        <v>10062105502</v>
      </c>
      <c r="B1624" s="10">
        <v>0</v>
      </c>
      <c r="C1624" s="9"/>
      <c r="D1624" s="9">
        <f t="shared" si="25"/>
        <v>0</v>
      </c>
      <c r="E1624" s="11"/>
      <c r="F1624" s="9" t="s">
        <v>7</v>
      </c>
    </row>
    <row r="1625" s="1" customFormat="1" customHeight="1" spans="1:6">
      <c r="A1625" s="9" t="str">
        <f>"10012105503"</f>
        <v>10012105503</v>
      </c>
      <c r="B1625" s="10">
        <v>44.54</v>
      </c>
      <c r="C1625" s="9">
        <v>10</v>
      </c>
      <c r="D1625" s="9">
        <f t="shared" si="25"/>
        <v>54.54</v>
      </c>
      <c r="E1625" s="12" t="s">
        <v>8</v>
      </c>
      <c r="F1625" s="9"/>
    </row>
    <row r="1626" s="1" customFormat="1" customHeight="1" spans="1:6">
      <c r="A1626" s="9" t="str">
        <f>"10362105504"</f>
        <v>10362105504</v>
      </c>
      <c r="B1626" s="10">
        <v>37.35</v>
      </c>
      <c r="C1626" s="9"/>
      <c r="D1626" s="9">
        <f t="shared" si="25"/>
        <v>37.35</v>
      </c>
      <c r="E1626" s="11"/>
      <c r="F1626" s="9"/>
    </row>
    <row r="1627" s="1" customFormat="1" customHeight="1" spans="1:6">
      <c r="A1627" s="9" t="str">
        <f>"10532105505"</f>
        <v>10532105505</v>
      </c>
      <c r="B1627" s="10">
        <v>0</v>
      </c>
      <c r="C1627" s="9"/>
      <c r="D1627" s="9">
        <f t="shared" si="25"/>
        <v>0</v>
      </c>
      <c r="E1627" s="11"/>
      <c r="F1627" s="9" t="s">
        <v>7</v>
      </c>
    </row>
    <row r="1628" s="1" customFormat="1" customHeight="1" spans="1:6">
      <c r="A1628" s="9" t="str">
        <f>"10262105506"</f>
        <v>10262105506</v>
      </c>
      <c r="B1628" s="10">
        <v>42.33</v>
      </c>
      <c r="C1628" s="9">
        <v>10</v>
      </c>
      <c r="D1628" s="9">
        <f t="shared" si="25"/>
        <v>52.33</v>
      </c>
      <c r="E1628" s="12" t="s">
        <v>8</v>
      </c>
      <c r="F1628" s="9"/>
    </row>
    <row r="1629" s="1" customFormat="1" customHeight="1" spans="1:6">
      <c r="A1629" s="9" t="str">
        <f>"10302105507"</f>
        <v>10302105507</v>
      </c>
      <c r="B1629" s="10">
        <v>39.17</v>
      </c>
      <c r="C1629" s="9"/>
      <c r="D1629" s="9">
        <f t="shared" si="25"/>
        <v>39.17</v>
      </c>
      <c r="E1629" s="11"/>
      <c r="F1629" s="9"/>
    </row>
    <row r="1630" s="1" customFormat="1" customHeight="1" spans="1:6">
      <c r="A1630" s="9" t="str">
        <f>"10062105508"</f>
        <v>10062105508</v>
      </c>
      <c r="B1630" s="10">
        <v>44.13</v>
      </c>
      <c r="C1630" s="9"/>
      <c r="D1630" s="9">
        <f t="shared" si="25"/>
        <v>44.13</v>
      </c>
      <c r="E1630" s="11"/>
      <c r="F1630" s="9"/>
    </row>
    <row r="1631" s="1" customFormat="1" customHeight="1" spans="1:6">
      <c r="A1631" s="9" t="str">
        <f>"10092105509"</f>
        <v>10092105509</v>
      </c>
      <c r="B1631" s="10">
        <v>37.02</v>
      </c>
      <c r="C1631" s="9"/>
      <c r="D1631" s="9">
        <f t="shared" si="25"/>
        <v>37.02</v>
      </c>
      <c r="E1631" s="11"/>
      <c r="F1631" s="9"/>
    </row>
    <row r="1632" s="1" customFormat="1" customHeight="1" spans="1:6">
      <c r="A1632" s="9" t="str">
        <f>"10352105510"</f>
        <v>10352105510</v>
      </c>
      <c r="B1632" s="10">
        <v>46.76</v>
      </c>
      <c r="C1632" s="9"/>
      <c r="D1632" s="9">
        <f t="shared" si="25"/>
        <v>46.76</v>
      </c>
      <c r="E1632" s="11"/>
      <c r="F1632" s="9"/>
    </row>
    <row r="1633" s="1" customFormat="1" customHeight="1" spans="1:6">
      <c r="A1633" s="9" t="str">
        <f>"10022105511"</f>
        <v>10022105511</v>
      </c>
      <c r="B1633" s="10">
        <v>0</v>
      </c>
      <c r="C1633" s="9"/>
      <c r="D1633" s="9">
        <f t="shared" si="25"/>
        <v>0</v>
      </c>
      <c r="E1633" s="11"/>
      <c r="F1633" s="9" t="s">
        <v>7</v>
      </c>
    </row>
    <row r="1634" s="1" customFormat="1" customHeight="1" spans="1:6">
      <c r="A1634" s="9" t="str">
        <f>"10302105512"</f>
        <v>10302105512</v>
      </c>
      <c r="B1634" s="10">
        <v>43.66</v>
      </c>
      <c r="C1634" s="9"/>
      <c r="D1634" s="9">
        <f t="shared" si="25"/>
        <v>43.66</v>
      </c>
      <c r="E1634" s="11"/>
      <c r="F1634" s="9"/>
    </row>
    <row r="1635" s="1" customFormat="1" customHeight="1" spans="1:6">
      <c r="A1635" s="9" t="str">
        <f>"10442105513"</f>
        <v>10442105513</v>
      </c>
      <c r="B1635" s="10">
        <v>42.33</v>
      </c>
      <c r="C1635" s="9"/>
      <c r="D1635" s="9">
        <f t="shared" si="25"/>
        <v>42.33</v>
      </c>
      <c r="E1635" s="11"/>
      <c r="F1635" s="9"/>
    </row>
    <row r="1636" s="1" customFormat="1" customHeight="1" spans="1:6">
      <c r="A1636" s="9" t="str">
        <f>"10342105514"</f>
        <v>10342105514</v>
      </c>
      <c r="B1636" s="10">
        <v>49.99</v>
      </c>
      <c r="C1636" s="9"/>
      <c r="D1636" s="9">
        <f t="shared" si="25"/>
        <v>49.99</v>
      </c>
      <c r="E1636" s="11"/>
      <c r="F1636" s="9"/>
    </row>
    <row r="1637" s="1" customFormat="1" customHeight="1" spans="1:6">
      <c r="A1637" s="9" t="str">
        <f>"10272105515"</f>
        <v>10272105515</v>
      </c>
      <c r="B1637" s="10">
        <v>45.86</v>
      </c>
      <c r="C1637" s="9"/>
      <c r="D1637" s="9">
        <f t="shared" si="25"/>
        <v>45.86</v>
      </c>
      <c r="E1637" s="11"/>
      <c r="F1637" s="9"/>
    </row>
    <row r="1638" s="1" customFormat="1" customHeight="1" spans="1:6">
      <c r="A1638" s="9" t="str">
        <f>"10122105516"</f>
        <v>10122105516</v>
      </c>
      <c r="B1638" s="10">
        <v>39.78</v>
      </c>
      <c r="C1638" s="9"/>
      <c r="D1638" s="9">
        <f t="shared" si="25"/>
        <v>39.78</v>
      </c>
      <c r="E1638" s="11"/>
      <c r="F1638" s="9"/>
    </row>
    <row r="1639" s="1" customFormat="1" customHeight="1" spans="1:6">
      <c r="A1639" s="9" t="str">
        <f>"10062105517"</f>
        <v>10062105517</v>
      </c>
      <c r="B1639" s="10">
        <v>35.57</v>
      </c>
      <c r="C1639" s="9"/>
      <c r="D1639" s="9">
        <f t="shared" si="25"/>
        <v>35.57</v>
      </c>
      <c r="E1639" s="11"/>
      <c r="F1639" s="9"/>
    </row>
    <row r="1640" s="1" customFormat="1" customHeight="1" spans="1:6">
      <c r="A1640" s="9" t="str">
        <f>"10052105518"</f>
        <v>10052105518</v>
      </c>
      <c r="B1640" s="10">
        <v>40.52</v>
      </c>
      <c r="C1640" s="9"/>
      <c r="D1640" s="9">
        <f t="shared" si="25"/>
        <v>40.52</v>
      </c>
      <c r="E1640" s="11"/>
      <c r="F1640" s="9"/>
    </row>
    <row r="1641" s="1" customFormat="1" customHeight="1" spans="1:6">
      <c r="A1641" s="9" t="str">
        <f>"10062105519"</f>
        <v>10062105519</v>
      </c>
      <c r="B1641" s="10">
        <v>50.8</v>
      </c>
      <c r="C1641" s="9"/>
      <c r="D1641" s="9">
        <f t="shared" si="25"/>
        <v>50.8</v>
      </c>
      <c r="E1641" s="11"/>
      <c r="F1641" s="9"/>
    </row>
    <row r="1642" s="1" customFormat="1" customHeight="1" spans="1:6">
      <c r="A1642" s="9" t="str">
        <f>"10092105520"</f>
        <v>10092105520</v>
      </c>
      <c r="B1642" s="10">
        <v>0</v>
      </c>
      <c r="C1642" s="9"/>
      <c r="D1642" s="9">
        <f t="shared" si="25"/>
        <v>0</v>
      </c>
      <c r="E1642" s="11"/>
      <c r="F1642" s="9" t="s">
        <v>7</v>
      </c>
    </row>
    <row r="1643" s="1" customFormat="1" customHeight="1" spans="1:6">
      <c r="A1643" s="9" t="str">
        <f>"10242105521"</f>
        <v>10242105521</v>
      </c>
      <c r="B1643" s="10">
        <v>0</v>
      </c>
      <c r="C1643" s="9"/>
      <c r="D1643" s="9">
        <f t="shared" si="25"/>
        <v>0</v>
      </c>
      <c r="E1643" s="11"/>
      <c r="F1643" s="9" t="s">
        <v>7</v>
      </c>
    </row>
    <row r="1644" s="1" customFormat="1" customHeight="1" spans="1:6">
      <c r="A1644" s="9" t="str">
        <f>"10332105522"</f>
        <v>10332105522</v>
      </c>
      <c r="B1644" s="10">
        <v>37.78</v>
      </c>
      <c r="C1644" s="9"/>
      <c r="D1644" s="9">
        <f t="shared" si="25"/>
        <v>37.78</v>
      </c>
      <c r="E1644" s="11"/>
      <c r="F1644" s="9"/>
    </row>
    <row r="1645" s="1" customFormat="1" customHeight="1" spans="1:6">
      <c r="A1645" s="9" t="str">
        <f>"10172105523"</f>
        <v>10172105523</v>
      </c>
      <c r="B1645" s="10">
        <v>33.65</v>
      </c>
      <c r="C1645" s="9"/>
      <c r="D1645" s="9">
        <f t="shared" si="25"/>
        <v>33.65</v>
      </c>
      <c r="E1645" s="11"/>
      <c r="F1645" s="9"/>
    </row>
    <row r="1646" s="1" customFormat="1" customHeight="1" spans="1:6">
      <c r="A1646" s="9" t="str">
        <f>"10512105524"</f>
        <v>10512105524</v>
      </c>
      <c r="B1646" s="10">
        <v>36.75</v>
      </c>
      <c r="C1646" s="9"/>
      <c r="D1646" s="9">
        <f t="shared" si="25"/>
        <v>36.75</v>
      </c>
      <c r="E1646" s="11"/>
      <c r="F1646" s="9"/>
    </row>
    <row r="1647" s="1" customFormat="1" customHeight="1" spans="1:6">
      <c r="A1647" s="9" t="str">
        <f>"10532105525"</f>
        <v>10532105525</v>
      </c>
      <c r="B1647" s="10">
        <v>45.92</v>
      </c>
      <c r="C1647" s="9"/>
      <c r="D1647" s="9">
        <f t="shared" si="25"/>
        <v>45.92</v>
      </c>
      <c r="E1647" s="11"/>
      <c r="F1647" s="9"/>
    </row>
    <row r="1648" s="1" customFormat="1" customHeight="1" spans="1:6">
      <c r="A1648" s="9" t="str">
        <f>"10292105526"</f>
        <v>10292105526</v>
      </c>
      <c r="B1648" s="10">
        <v>49.9</v>
      </c>
      <c r="C1648" s="9"/>
      <c r="D1648" s="9">
        <f t="shared" si="25"/>
        <v>49.9</v>
      </c>
      <c r="E1648" s="11"/>
      <c r="F1648" s="9"/>
    </row>
    <row r="1649" s="1" customFormat="1" customHeight="1" spans="1:6">
      <c r="A1649" s="9" t="str">
        <f>"10362105527"</f>
        <v>10362105527</v>
      </c>
      <c r="B1649" s="10">
        <v>0</v>
      </c>
      <c r="C1649" s="9"/>
      <c r="D1649" s="9">
        <f t="shared" si="25"/>
        <v>0</v>
      </c>
      <c r="E1649" s="11"/>
      <c r="F1649" s="9" t="s">
        <v>7</v>
      </c>
    </row>
    <row r="1650" s="1" customFormat="1" customHeight="1" spans="1:6">
      <c r="A1650" s="9" t="str">
        <f>"10202105528"</f>
        <v>10202105528</v>
      </c>
      <c r="B1650" s="10">
        <v>0</v>
      </c>
      <c r="C1650" s="9"/>
      <c r="D1650" s="9">
        <f t="shared" si="25"/>
        <v>0</v>
      </c>
      <c r="E1650" s="11"/>
      <c r="F1650" s="9" t="s">
        <v>7</v>
      </c>
    </row>
    <row r="1651" s="1" customFormat="1" customHeight="1" spans="1:6">
      <c r="A1651" s="9" t="str">
        <f>"10532105529"</f>
        <v>10532105529</v>
      </c>
      <c r="B1651" s="10">
        <v>0</v>
      </c>
      <c r="C1651" s="9"/>
      <c r="D1651" s="9">
        <f t="shared" si="25"/>
        <v>0</v>
      </c>
      <c r="E1651" s="11"/>
      <c r="F1651" s="9" t="s">
        <v>7</v>
      </c>
    </row>
    <row r="1652" s="1" customFormat="1" customHeight="1" spans="1:6">
      <c r="A1652" s="9" t="str">
        <f>"10302105530"</f>
        <v>10302105530</v>
      </c>
      <c r="B1652" s="10">
        <v>0</v>
      </c>
      <c r="C1652" s="9"/>
      <c r="D1652" s="9">
        <f t="shared" si="25"/>
        <v>0</v>
      </c>
      <c r="E1652" s="11"/>
      <c r="F1652" s="9" t="s">
        <v>7</v>
      </c>
    </row>
    <row r="1653" s="1" customFormat="1" customHeight="1" spans="1:6">
      <c r="A1653" s="9" t="str">
        <f>"10442105601"</f>
        <v>10442105601</v>
      </c>
      <c r="B1653" s="10">
        <v>0</v>
      </c>
      <c r="C1653" s="9"/>
      <c r="D1653" s="9">
        <f t="shared" si="25"/>
        <v>0</v>
      </c>
      <c r="E1653" s="11"/>
      <c r="F1653" s="9" t="s">
        <v>7</v>
      </c>
    </row>
    <row r="1654" s="1" customFormat="1" customHeight="1" spans="1:6">
      <c r="A1654" s="9" t="str">
        <f>"10042105602"</f>
        <v>10042105602</v>
      </c>
      <c r="B1654" s="10">
        <v>44.89</v>
      </c>
      <c r="C1654" s="9"/>
      <c r="D1654" s="9">
        <f t="shared" si="25"/>
        <v>44.89</v>
      </c>
      <c r="E1654" s="11"/>
      <c r="F1654" s="9"/>
    </row>
    <row r="1655" s="1" customFormat="1" customHeight="1" spans="1:6">
      <c r="A1655" s="9" t="str">
        <f>"10362105603"</f>
        <v>10362105603</v>
      </c>
      <c r="B1655" s="10">
        <v>36.95</v>
      </c>
      <c r="C1655" s="9"/>
      <c r="D1655" s="9">
        <f t="shared" si="25"/>
        <v>36.95</v>
      </c>
      <c r="E1655" s="11"/>
      <c r="F1655" s="9"/>
    </row>
    <row r="1656" s="1" customFormat="1" customHeight="1" spans="1:6">
      <c r="A1656" s="9" t="str">
        <f>"10362105604"</f>
        <v>10362105604</v>
      </c>
      <c r="B1656" s="10">
        <v>34.2</v>
      </c>
      <c r="C1656" s="9"/>
      <c r="D1656" s="9">
        <f t="shared" si="25"/>
        <v>34.2</v>
      </c>
      <c r="E1656" s="11"/>
      <c r="F1656" s="9"/>
    </row>
    <row r="1657" s="1" customFormat="1" customHeight="1" spans="1:6">
      <c r="A1657" s="9" t="str">
        <f>"10532105605"</f>
        <v>10532105605</v>
      </c>
      <c r="B1657" s="10">
        <v>40.78</v>
      </c>
      <c r="C1657" s="9"/>
      <c r="D1657" s="9">
        <f t="shared" si="25"/>
        <v>40.78</v>
      </c>
      <c r="E1657" s="11"/>
      <c r="F1657" s="9"/>
    </row>
    <row r="1658" s="1" customFormat="1" customHeight="1" spans="1:6">
      <c r="A1658" s="9" t="str">
        <f>"10082105606"</f>
        <v>10082105606</v>
      </c>
      <c r="B1658" s="10">
        <v>0</v>
      </c>
      <c r="C1658" s="9"/>
      <c r="D1658" s="9">
        <f t="shared" si="25"/>
        <v>0</v>
      </c>
      <c r="E1658" s="11"/>
      <c r="F1658" s="9" t="s">
        <v>7</v>
      </c>
    </row>
    <row r="1659" s="1" customFormat="1" customHeight="1" spans="1:6">
      <c r="A1659" s="9" t="str">
        <f>"10332105607"</f>
        <v>10332105607</v>
      </c>
      <c r="B1659" s="10">
        <v>35.06</v>
      </c>
      <c r="C1659" s="9"/>
      <c r="D1659" s="9">
        <f t="shared" si="25"/>
        <v>35.06</v>
      </c>
      <c r="E1659" s="11"/>
      <c r="F1659" s="9"/>
    </row>
    <row r="1660" s="1" customFormat="1" customHeight="1" spans="1:6">
      <c r="A1660" s="9" t="str">
        <f>"10132105608"</f>
        <v>10132105608</v>
      </c>
      <c r="B1660" s="10">
        <v>48.86</v>
      </c>
      <c r="C1660" s="9"/>
      <c r="D1660" s="9">
        <f t="shared" si="25"/>
        <v>48.86</v>
      </c>
      <c r="E1660" s="11"/>
      <c r="F1660" s="9"/>
    </row>
    <row r="1661" s="1" customFormat="1" customHeight="1" spans="1:6">
      <c r="A1661" s="9" t="str">
        <f>"10082105609"</f>
        <v>10082105609</v>
      </c>
      <c r="B1661" s="10">
        <v>40.78</v>
      </c>
      <c r="C1661" s="9"/>
      <c r="D1661" s="9">
        <f t="shared" si="25"/>
        <v>40.78</v>
      </c>
      <c r="E1661" s="11"/>
      <c r="F1661" s="9"/>
    </row>
    <row r="1662" s="1" customFormat="1" customHeight="1" spans="1:6">
      <c r="A1662" s="9" t="str">
        <f>"10302105610"</f>
        <v>10302105610</v>
      </c>
      <c r="B1662" s="10">
        <v>44.25</v>
      </c>
      <c r="C1662" s="9"/>
      <c r="D1662" s="9">
        <f t="shared" si="25"/>
        <v>44.25</v>
      </c>
      <c r="E1662" s="11"/>
      <c r="F1662" s="9"/>
    </row>
    <row r="1663" s="1" customFormat="1" customHeight="1" spans="1:6">
      <c r="A1663" s="9" t="str">
        <f>"10432105611"</f>
        <v>10432105611</v>
      </c>
      <c r="B1663" s="10">
        <v>0</v>
      </c>
      <c r="C1663" s="9"/>
      <c r="D1663" s="9">
        <f t="shared" si="25"/>
        <v>0</v>
      </c>
      <c r="E1663" s="11"/>
      <c r="F1663" s="9" t="s">
        <v>7</v>
      </c>
    </row>
    <row r="1664" s="1" customFormat="1" customHeight="1" spans="1:6">
      <c r="A1664" s="9" t="str">
        <f>"10022105612"</f>
        <v>10022105612</v>
      </c>
      <c r="B1664" s="10">
        <v>0</v>
      </c>
      <c r="C1664" s="9"/>
      <c r="D1664" s="9">
        <f t="shared" si="25"/>
        <v>0</v>
      </c>
      <c r="E1664" s="11"/>
      <c r="F1664" s="9" t="s">
        <v>7</v>
      </c>
    </row>
    <row r="1665" s="1" customFormat="1" customHeight="1" spans="1:6">
      <c r="A1665" s="9" t="str">
        <f>"10372105613"</f>
        <v>10372105613</v>
      </c>
      <c r="B1665" s="10">
        <v>40.54</v>
      </c>
      <c r="C1665" s="9"/>
      <c r="D1665" s="9">
        <f t="shared" si="25"/>
        <v>40.54</v>
      </c>
      <c r="E1665" s="11"/>
      <c r="F1665" s="9"/>
    </row>
    <row r="1666" s="1" customFormat="1" customHeight="1" spans="1:6">
      <c r="A1666" s="9" t="str">
        <f>"10302105614"</f>
        <v>10302105614</v>
      </c>
      <c r="B1666" s="10">
        <v>0</v>
      </c>
      <c r="C1666" s="9"/>
      <c r="D1666" s="9">
        <f t="shared" si="25"/>
        <v>0</v>
      </c>
      <c r="E1666" s="11"/>
      <c r="F1666" s="9" t="s">
        <v>7</v>
      </c>
    </row>
    <row r="1667" s="1" customFormat="1" customHeight="1" spans="1:6">
      <c r="A1667" s="9" t="str">
        <f>"20272105615"</f>
        <v>20272105615</v>
      </c>
      <c r="B1667" s="10">
        <v>45.27</v>
      </c>
      <c r="C1667" s="9"/>
      <c r="D1667" s="9">
        <f t="shared" ref="D1667:D1730" si="26">SUM(B1667:C1667)</f>
        <v>45.27</v>
      </c>
      <c r="E1667" s="11"/>
      <c r="F1667" s="9"/>
    </row>
    <row r="1668" s="1" customFormat="1" customHeight="1" spans="1:6">
      <c r="A1668" s="9" t="str">
        <f>"10442105616"</f>
        <v>10442105616</v>
      </c>
      <c r="B1668" s="10">
        <v>46.69</v>
      </c>
      <c r="C1668" s="9"/>
      <c r="D1668" s="9">
        <f t="shared" si="26"/>
        <v>46.69</v>
      </c>
      <c r="E1668" s="11"/>
      <c r="F1668" s="9"/>
    </row>
    <row r="1669" s="1" customFormat="1" customHeight="1" spans="1:6">
      <c r="A1669" s="9" t="str">
        <f>"10412105617"</f>
        <v>10412105617</v>
      </c>
      <c r="B1669" s="10">
        <v>51.82</v>
      </c>
      <c r="C1669" s="9"/>
      <c r="D1669" s="9">
        <f t="shared" si="26"/>
        <v>51.82</v>
      </c>
      <c r="E1669" s="11"/>
      <c r="F1669" s="9"/>
    </row>
    <row r="1670" s="1" customFormat="1" customHeight="1" spans="1:6">
      <c r="A1670" s="9" t="str">
        <f>"10362105618"</f>
        <v>10362105618</v>
      </c>
      <c r="B1670" s="10">
        <v>35.05</v>
      </c>
      <c r="C1670" s="9"/>
      <c r="D1670" s="9">
        <f t="shared" si="26"/>
        <v>35.05</v>
      </c>
      <c r="E1670" s="11"/>
      <c r="F1670" s="9"/>
    </row>
    <row r="1671" s="1" customFormat="1" customHeight="1" spans="1:6">
      <c r="A1671" s="9" t="str">
        <f>"10442105619"</f>
        <v>10442105619</v>
      </c>
      <c r="B1671" s="10">
        <v>0</v>
      </c>
      <c r="C1671" s="9"/>
      <c r="D1671" s="9">
        <f t="shared" si="26"/>
        <v>0</v>
      </c>
      <c r="E1671" s="11"/>
      <c r="F1671" s="9" t="s">
        <v>7</v>
      </c>
    </row>
    <row r="1672" s="1" customFormat="1" customHeight="1" spans="1:6">
      <c r="A1672" s="9" t="str">
        <f>"10202105620"</f>
        <v>10202105620</v>
      </c>
      <c r="B1672" s="10">
        <v>42.77</v>
      </c>
      <c r="C1672" s="9"/>
      <c r="D1672" s="9">
        <f t="shared" si="26"/>
        <v>42.77</v>
      </c>
      <c r="E1672" s="11"/>
      <c r="F1672" s="9"/>
    </row>
    <row r="1673" s="1" customFormat="1" customHeight="1" spans="1:6">
      <c r="A1673" s="9" t="str">
        <f>"10362105621"</f>
        <v>10362105621</v>
      </c>
      <c r="B1673" s="10">
        <v>52.11</v>
      </c>
      <c r="C1673" s="9"/>
      <c r="D1673" s="9">
        <f t="shared" si="26"/>
        <v>52.11</v>
      </c>
      <c r="E1673" s="11"/>
      <c r="F1673" s="9"/>
    </row>
    <row r="1674" s="1" customFormat="1" customHeight="1" spans="1:6">
      <c r="A1674" s="9" t="str">
        <f>"10142105622"</f>
        <v>10142105622</v>
      </c>
      <c r="B1674" s="10">
        <v>0</v>
      </c>
      <c r="C1674" s="9"/>
      <c r="D1674" s="9">
        <f t="shared" si="26"/>
        <v>0</v>
      </c>
      <c r="E1674" s="11"/>
      <c r="F1674" s="9" t="s">
        <v>7</v>
      </c>
    </row>
    <row r="1675" s="1" customFormat="1" customHeight="1" spans="1:6">
      <c r="A1675" s="9" t="str">
        <f>"10362105623"</f>
        <v>10362105623</v>
      </c>
      <c r="B1675" s="10">
        <v>46.01</v>
      </c>
      <c r="C1675" s="9"/>
      <c r="D1675" s="9">
        <f t="shared" si="26"/>
        <v>46.01</v>
      </c>
      <c r="E1675" s="11"/>
      <c r="F1675" s="9"/>
    </row>
    <row r="1676" s="1" customFormat="1" customHeight="1" spans="1:6">
      <c r="A1676" s="9" t="str">
        <f>"10092105624"</f>
        <v>10092105624</v>
      </c>
      <c r="B1676" s="10">
        <v>34.99</v>
      </c>
      <c r="C1676" s="9"/>
      <c r="D1676" s="9">
        <f t="shared" si="26"/>
        <v>34.99</v>
      </c>
      <c r="E1676" s="11"/>
      <c r="F1676" s="9"/>
    </row>
    <row r="1677" s="1" customFormat="1" customHeight="1" spans="1:6">
      <c r="A1677" s="9" t="str">
        <f>"10042105625"</f>
        <v>10042105625</v>
      </c>
      <c r="B1677" s="10">
        <v>47.55</v>
      </c>
      <c r="C1677" s="9"/>
      <c r="D1677" s="9">
        <f t="shared" si="26"/>
        <v>47.55</v>
      </c>
      <c r="E1677" s="11"/>
      <c r="F1677" s="9"/>
    </row>
    <row r="1678" s="1" customFormat="1" customHeight="1" spans="1:6">
      <c r="A1678" s="9" t="str">
        <f>"10522105626"</f>
        <v>10522105626</v>
      </c>
      <c r="B1678" s="10">
        <v>60.93</v>
      </c>
      <c r="C1678" s="9"/>
      <c r="D1678" s="9">
        <f t="shared" si="26"/>
        <v>60.93</v>
      </c>
      <c r="E1678" s="11"/>
      <c r="F1678" s="9"/>
    </row>
    <row r="1679" s="1" customFormat="1" customHeight="1" spans="1:6">
      <c r="A1679" s="9" t="str">
        <f>"10332105627"</f>
        <v>10332105627</v>
      </c>
      <c r="B1679" s="10">
        <v>36.59</v>
      </c>
      <c r="C1679" s="9"/>
      <c r="D1679" s="9">
        <f t="shared" si="26"/>
        <v>36.59</v>
      </c>
      <c r="E1679" s="11"/>
      <c r="F1679" s="9"/>
    </row>
    <row r="1680" s="1" customFormat="1" customHeight="1" spans="1:6">
      <c r="A1680" s="9" t="str">
        <f>"10242105628"</f>
        <v>10242105628</v>
      </c>
      <c r="B1680" s="10">
        <v>44.05</v>
      </c>
      <c r="C1680" s="9"/>
      <c r="D1680" s="9">
        <f t="shared" si="26"/>
        <v>44.05</v>
      </c>
      <c r="E1680" s="11"/>
      <c r="F1680" s="9"/>
    </row>
    <row r="1681" s="1" customFormat="1" customHeight="1" spans="1:6">
      <c r="A1681" s="9" t="str">
        <f>"10382105629"</f>
        <v>10382105629</v>
      </c>
      <c r="B1681" s="10">
        <v>0</v>
      </c>
      <c r="C1681" s="9"/>
      <c r="D1681" s="9">
        <f t="shared" si="26"/>
        <v>0</v>
      </c>
      <c r="E1681" s="11"/>
      <c r="F1681" s="9" t="s">
        <v>7</v>
      </c>
    </row>
    <row r="1682" s="1" customFormat="1" customHeight="1" spans="1:6">
      <c r="A1682" s="9" t="str">
        <f>"10132105630"</f>
        <v>10132105630</v>
      </c>
      <c r="B1682" s="10">
        <v>0</v>
      </c>
      <c r="C1682" s="9"/>
      <c r="D1682" s="9">
        <f t="shared" si="26"/>
        <v>0</v>
      </c>
      <c r="E1682" s="11"/>
      <c r="F1682" s="9" t="s">
        <v>7</v>
      </c>
    </row>
    <row r="1683" s="1" customFormat="1" customHeight="1" spans="1:6">
      <c r="A1683" s="9" t="str">
        <f>"10012105701"</f>
        <v>10012105701</v>
      </c>
      <c r="B1683" s="10">
        <v>0</v>
      </c>
      <c r="C1683" s="9"/>
      <c r="D1683" s="9">
        <f t="shared" si="26"/>
        <v>0</v>
      </c>
      <c r="E1683" s="11"/>
      <c r="F1683" s="9" t="s">
        <v>7</v>
      </c>
    </row>
    <row r="1684" s="1" customFormat="1" customHeight="1" spans="1:6">
      <c r="A1684" s="9" t="str">
        <f>"10522105702"</f>
        <v>10522105702</v>
      </c>
      <c r="B1684" s="10">
        <v>39.76</v>
      </c>
      <c r="C1684" s="9"/>
      <c r="D1684" s="9">
        <f t="shared" si="26"/>
        <v>39.76</v>
      </c>
      <c r="E1684" s="11"/>
      <c r="F1684" s="9"/>
    </row>
    <row r="1685" s="1" customFormat="1" customHeight="1" spans="1:6">
      <c r="A1685" s="9" t="str">
        <f>"10512105703"</f>
        <v>10512105703</v>
      </c>
      <c r="B1685" s="10">
        <v>0</v>
      </c>
      <c r="C1685" s="9"/>
      <c r="D1685" s="9">
        <f t="shared" si="26"/>
        <v>0</v>
      </c>
      <c r="E1685" s="11"/>
      <c r="F1685" s="9" t="s">
        <v>7</v>
      </c>
    </row>
    <row r="1686" s="1" customFormat="1" customHeight="1" spans="1:6">
      <c r="A1686" s="9" t="str">
        <f>"10272105704"</f>
        <v>10272105704</v>
      </c>
      <c r="B1686" s="10">
        <v>39.84</v>
      </c>
      <c r="C1686" s="9"/>
      <c r="D1686" s="9">
        <f t="shared" si="26"/>
        <v>39.84</v>
      </c>
      <c r="E1686" s="11"/>
      <c r="F1686" s="9"/>
    </row>
    <row r="1687" s="1" customFormat="1" customHeight="1" spans="1:6">
      <c r="A1687" s="9" t="str">
        <f>"10362105705"</f>
        <v>10362105705</v>
      </c>
      <c r="B1687" s="10">
        <v>38.2</v>
      </c>
      <c r="C1687" s="9"/>
      <c r="D1687" s="9">
        <f t="shared" si="26"/>
        <v>38.2</v>
      </c>
      <c r="E1687" s="11"/>
      <c r="F1687" s="9"/>
    </row>
    <row r="1688" s="1" customFormat="1" customHeight="1" spans="1:6">
      <c r="A1688" s="9" t="str">
        <f>"10402105706"</f>
        <v>10402105706</v>
      </c>
      <c r="B1688" s="10">
        <v>51.97</v>
      </c>
      <c r="C1688" s="9"/>
      <c r="D1688" s="9">
        <f t="shared" si="26"/>
        <v>51.97</v>
      </c>
      <c r="E1688" s="11"/>
      <c r="F1688" s="9"/>
    </row>
    <row r="1689" s="1" customFormat="1" customHeight="1" spans="1:6">
      <c r="A1689" s="9" t="str">
        <f>"10522105707"</f>
        <v>10522105707</v>
      </c>
      <c r="B1689" s="10">
        <v>32.32</v>
      </c>
      <c r="C1689" s="9"/>
      <c r="D1689" s="9">
        <f t="shared" si="26"/>
        <v>32.32</v>
      </c>
      <c r="E1689" s="11"/>
      <c r="F1689" s="9"/>
    </row>
    <row r="1690" s="1" customFormat="1" customHeight="1" spans="1:6">
      <c r="A1690" s="9" t="str">
        <f>"10082105708"</f>
        <v>10082105708</v>
      </c>
      <c r="B1690" s="10">
        <v>50.45</v>
      </c>
      <c r="C1690" s="9"/>
      <c r="D1690" s="9">
        <f t="shared" si="26"/>
        <v>50.45</v>
      </c>
      <c r="E1690" s="11"/>
      <c r="F1690" s="9"/>
    </row>
    <row r="1691" s="1" customFormat="1" customHeight="1" spans="1:6">
      <c r="A1691" s="9" t="str">
        <f>"20272105709"</f>
        <v>20272105709</v>
      </c>
      <c r="B1691" s="10">
        <v>48.88</v>
      </c>
      <c r="C1691" s="9"/>
      <c r="D1691" s="9">
        <f t="shared" si="26"/>
        <v>48.88</v>
      </c>
      <c r="E1691" s="11"/>
      <c r="F1691" s="9"/>
    </row>
    <row r="1692" s="1" customFormat="1" customHeight="1" spans="1:6">
      <c r="A1692" s="9" t="str">
        <f>"10112105710"</f>
        <v>10112105710</v>
      </c>
      <c r="B1692" s="10">
        <v>33.96</v>
      </c>
      <c r="C1692" s="9"/>
      <c r="D1692" s="9">
        <f t="shared" si="26"/>
        <v>33.96</v>
      </c>
      <c r="E1692" s="11"/>
      <c r="F1692" s="9"/>
    </row>
    <row r="1693" s="1" customFormat="1" customHeight="1" spans="1:6">
      <c r="A1693" s="9" t="str">
        <f>"10362105711"</f>
        <v>10362105711</v>
      </c>
      <c r="B1693" s="10">
        <v>35.31</v>
      </c>
      <c r="C1693" s="9"/>
      <c r="D1693" s="9">
        <f t="shared" si="26"/>
        <v>35.31</v>
      </c>
      <c r="E1693" s="11"/>
      <c r="F1693" s="9"/>
    </row>
    <row r="1694" s="1" customFormat="1" customHeight="1" spans="1:6">
      <c r="A1694" s="9" t="str">
        <f>"10232105712"</f>
        <v>10232105712</v>
      </c>
      <c r="B1694" s="10">
        <v>0</v>
      </c>
      <c r="C1694" s="9"/>
      <c r="D1694" s="9">
        <f t="shared" si="26"/>
        <v>0</v>
      </c>
      <c r="E1694" s="11"/>
      <c r="F1694" s="9" t="s">
        <v>7</v>
      </c>
    </row>
    <row r="1695" s="1" customFormat="1" customHeight="1" spans="1:6">
      <c r="A1695" s="9" t="str">
        <f>"10382105713"</f>
        <v>10382105713</v>
      </c>
      <c r="B1695" s="10">
        <v>43.65</v>
      </c>
      <c r="C1695" s="9"/>
      <c r="D1695" s="9">
        <f t="shared" si="26"/>
        <v>43.65</v>
      </c>
      <c r="E1695" s="11"/>
      <c r="F1695" s="9"/>
    </row>
    <row r="1696" s="1" customFormat="1" customHeight="1" spans="1:6">
      <c r="A1696" s="9" t="str">
        <f>"10292105714"</f>
        <v>10292105714</v>
      </c>
      <c r="B1696" s="10">
        <v>0</v>
      </c>
      <c r="C1696" s="9"/>
      <c r="D1696" s="9">
        <f t="shared" si="26"/>
        <v>0</v>
      </c>
      <c r="E1696" s="11"/>
      <c r="F1696" s="9" t="s">
        <v>7</v>
      </c>
    </row>
    <row r="1697" s="1" customFormat="1" customHeight="1" spans="1:6">
      <c r="A1697" s="9" t="str">
        <f>"10342105715"</f>
        <v>10342105715</v>
      </c>
      <c r="B1697" s="10">
        <v>0</v>
      </c>
      <c r="C1697" s="9"/>
      <c r="D1697" s="9">
        <f t="shared" si="26"/>
        <v>0</v>
      </c>
      <c r="E1697" s="11"/>
      <c r="F1697" s="9" t="s">
        <v>7</v>
      </c>
    </row>
    <row r="1698" s="1" customFormat="1" customHeight="1" spans="1:6">
      <c r="A1698" s="9" t="str">
        <f>"10522105716"</f>
        <v>10522105716</v>
      </c>
      <c r="B1698" s="10">
        <v>41.63</v>
      </c>
      <c r="C1698" s="9">
        <v>10</v>
      </c>
      <c r="D1698" s="9">
        <f t="shared" si="26"/>
        <v>51.63</v>
      </c>
      <c r="E1698" s="12" t="s">
        <v>8</v>
      </c>
      <c r="F1698" s="9"/>
    </row>
    <row r="1699" s="1" customFormat="1" customHeight="1" spans="1:6">
      <c r="A1699" s="9" t="str">
        <f>"10132105717"</f>
        <v>10132105717</v>
      </c>
      <c r="B1699" s="10">
        <v>45.09</v>
      </c>
      <c r="C1699" s="9"/>
      <c r="D1699" s="9">
        <f t="shared" si="26"/>
        <v>45.09</v>
      </c>
      <c r="E1699" s="11"/>
      <c r="F1699" s="9"/>
    </row>
    <row r="1700" s="1" customFormat="1" customHeight="1" spans="1:6">
      <c r="A1700" s="9" t="str">
        <f>"20272105718"</f>
        <v>20272105718</v>
      </c>
      <c r="B1700" s="10">
        <v>30.85</v>
      </c>
      <c r="C1700" s="9"/>
      <c r="D1700" s="9">
        <f t="shared" si="26"/>
        <v>30.85</v>
      </c>
      <c r="E1700" s="11"/>
      <c r="F1700" s="9"/>
    </row>
    <row r="1701" s="1" customFormat="1" customHeight="1" spans="1:6">
      <c r="A1701" s="9" t="str">
        <f>"10182105719"</f>
        <v>10182105719</v>
      </c>
      <c r="B1701" s="10">
        <v>43.33</v>
      </c>
      <c r="C1701" s="9"/>
      <c r="D1701" s="9">
        <f t="shared" si="26"/>
        <v>43.33</v>
      </c>
      <c r="E1701" s="11"/>
      <c r="F1701" s="9"/>
    </row>
    <row r="1702" s="1" customFormat="1" customHeight="1" spans="1:6">
      <c r="A1702" s="9" t="str">
        <f>"10532105720"</f>
        <v>10532105720</v>
      </c>
      <c r="B1702" s="10">
        <v>35.4</v>
      </c>
      <c r="C1702" s="9"/>
      <c r="D1702" s="9">
        <f t="shared" si="26"/>
        <v>35.4</v>
      </c>
      <c r="E1702" s="11"/>
      <c r="F1702" s="9"/>
    </row>
    <row r="1703" s="1" customFormat="1" customHeight="1" spans="1:6">
      <c r="A1703" s="9" t="str">
        <f>"10192105721"</f>
        <v>10192105721</v>
      </c>
      <c r="B1703" s="10">
        <v>0</v>
      </c>
      <c r="C1703" s="9"/>
      <c r="D1703" s="9">
        <f t="shared" si="26"/>
        <v>0</v>
      </c>
      <c r="E1703" s="11"/>
      <c r="F1703" s="9" t="s">
        <v>7</v>
      </c>
    </row>
    <row r="1704" s="1" customFormat="1" customHeight="1" spans="1:6">
      <c r="A1704" s="9" t="str">
        <f>"10282105722"</f>
        <v>10282105722</v>
      </c>
      <c r="B1704" s="10">
        <v>0</v>
      </c>
      <c r="C1704" s="9"/>
      <c r="D1704" s="9">
        <f t="shared" si="26"/>
        <v>0</v>
      </c>
      <c r="E1704" s="11"/>
      <c r="F1704" s="9" t="s">
        <v>7</v>
      </c>
    </row>
    <row r="1705" s="1" customFormat="1" customHeight="1" spans="1:6">
      <c r="A1705" s="9" t="str">
        <f>"10362105723"</f>
        <v>10362105723</v>
      </c>
      <c r="B1705" s="10">
        <v>35.8</v>
      </c>
      <c r="C1705" s="9"/>
      <c r="D1705" s="9">
        <f t="shared" si="26"/>
        <v>35.8</v>
      </c>
      <c r="E1705" s="11"/>
      <c r="F1705" s="9"/>
    </row>
    <row r="1706" s="1" customFormat="1" customHeight="1" spans="1:6">
      <c r="A1706" s="9" t="str">
        <f>"10442105724"</f>
        <v>10442105724</v>
      </c>
      <c r="B1706" s="10">
        <v>0</v>
      </c>
      <c r="C1706" s="9"/>
      <c r="D1706" s="9">
        <f t="shared" si="26"/>
        <v>0</v>
      </c>
      <c r="E1706" s="11"/>
      <c r="F1706" s="9" t="s">
        <v>7</v>
      </c>
    </row>
    <row r="1707" s="1" customFormat="1" customHeight="1" spans="1:6">
      <c r="A1707" s="9" t="str">
        <f>"10532105725"</f>
        <v>10532105725</v>
      </c>
      <c r="B1707" s="10">
        <v>35.64</v>
      </c>
      <c r="C1707" s="9">
        <v>10</v>
      </c>
      <c r="D1707" s="9">
        <f t="shared" si="26"/>
        <v>45.64</v>
      </c>
      <c r="E1707" s="12" t="s">
        <v>8</v>
      </c>
      <c r="F1707" s="9"/>
    </row>
    <row r="1708" s="1" customFormat="1" customHeight="1" spans="1:6">
      <c r="A1708" s="9" t="str">
        <f>"10112105726"</f>
        <v>10112105726</v>
      </c>
      <c r="B1708" s="10">
        <v>46.15</v>
      </c>
      <c r="C1708" s="9"/>
      <c r="D1708" s="9">
        <f t="shared" si="26"/>
        <v>46.15</v>
      </c>
      <c r="E1708" s="11"/>
      <c r="F1708" s="9"/>
    </row>
    <row r="1709" s="1" customFormat="1" customHeight="1" spans="1:6">
      <c r="A1709" s="9" t="str">
        <f>"10062105727"</f>
        <v>10062105727</v>
      </c>
      <c r="B1709" s="10">
        <v>0</v>
      </c>
      <c r="C1709" s="9"/>
      <c r="D1709" s="9">
        <f t="shared" si="26"/>
        <v>0</v>
      </c>
      <c r="E1709" s="11"/>
      <c r="F1709" s="9" t="s">
        <v>7</v>
      </c>
    </row>
    <row r="1710" s="1" customFormat="1" customHeight="1" spans="1:6">
      <c r="A1710" s="9" t="str">
        <f>"10012105728"</f>
        <v>10012105728</v>
      </c>
      <c r="B1710" s="10">
        <v>0</v>
      </c>
      <c r="C1710" s="9"/>
      <c r="D1710" s="9">
        <f t="shared" si="26"/>
        <v>0</v>
      </c>
      <c r="E1710" s="11"/>
      <c r="F1710" s="9" t="s">
        <v>7</v>
      </c>
    </row>
    <row r="1711" s="1" customFormat="1" customHeight="1" spans="1:6">
      <c r="A1711" s="9" t="str">
        <f>"10482105729"</f>
        <v>10482105729</v>
      </c>
      <c r="B1711" s="10">
        <v>0</v>
      </c>
      <c r="C1711" s="9"/>
      <c r="D1711" s="9">
        <f t="shared" si="26"/>
        <v>0</v>
      </c>
      <c r="E1711" s="11"/>
      <c r="F1711" s="9" t="s">
        <v>7</v>
      </c>
    </row>
    <row r="1712" s="1" customFormat="1" customHeight="1" spans="1:6">
      <c r="A1712" s="9" t="str">
        <f>"10172105730"</f>
        <v>10172105730</v>
      </c>
      <c r="B1712" s="10">
        <v>39.81</v>
      </c>
      <c r="C1712" s="9"/>
      <c r="D1712" s="9">
        <f t="shared" si="26"/>
        <v>39.81</v>
      </c>
      <c r="E1712" s="11"/>
      <c r="F1712" s="9"/>
    </row>
    <row r="1713" s="1" customFormat="1" customHeight="1" spans="1:6">
      <c r="A1713" s="9" t="str">
        <f>"10522105801"</f>
        <v>10522105801</v>
      </c>
      <c r="B1713" s="10">
        <v>41.92</v>
      </c>
      <c r="C1713" s="9"/>
      <c r="D1713" s="9">
        <f t="shared" si="26"/>
        <v>41.92</v>
      </c>
      <c r="E1713" s="11"/>
      <c r="F1713" s="9"/>
    </row>
    <row r="1714" s="1" customFormat="1" customHeight="1" spans="1:6">
      <c r="A1714" s="9" t="str">
        <f>"10382105802"</f>
        <v>10382105802</v>
      </c>
      <c r="B1714" s="10">
        <v>42.37</v>
      </c>
      <c r="C1714" s="9"/>
      <c r="D1714" s="9">
        <f t="shared" si="26"/>
        <v>42.37</v>
      </c>
      <c r="E1714" s="11"/>
      <c r="F1714" s="9"/>
    </row>
    <row r="1715" s="1" customFormat="1" customHeight="1" spans="1:6">
      <c r="A1715" s="9" t="str">
        <f>"10072105803"</f>
        <v>10072105803</v>
      </c>
      <c r="B1715" s="10">
        <v>47.5</v>
      </c>
      <c r="C1715" s="9"/>
      <c r="D1715" s="9">
        <f t="shared" si="26"/>
        <v>47.5</v>
      </c>
      <c r="E1715" s="11"/>
      <c r="F1715" s="9"/>
    </row>
    <row r="1716" s="1" customFormat="1" customHeight="1" spans="1:6">
      <c r="A1716" s="9" t="str">
        <f>"10412105804"</f>
        <v>10412105804</v>
      </c>
      <c r="B1716" s="10">
        <v>36.85</v>
      </c>
      <c r="C1716" s="9"/>
      <c r="D1716" s="9">
        <f t="shared" si="26"/>
        <v>36.85</v>
      </c>
      <c r="E1716" s="11"/>
      <c r="F1716" s="9"/>
    </row>
    <row r="1717" s="1" customFormat="1" customHeight="1" spans="1:6">
      <c r="A1717" s="9" t="str">
        <f>"10282105805"</f>
        <v>10282105805</v>
      </c>
      <c r="B1717" s="10">
        <v>41.82</v>
      </c>
      <c r="C1717" s="9"/>
      <c r="D1717" s="9">
        <f t="shared" si="26"/>
        <v>41.82</v>
      </c>
      <c r="E1717" s="11"/>
      <c r="F1717" s="9"/>
    </row>
    <row r="1718" s="1" customFormat="1" customHeight="1" spans="1:6">
      <c r="A1718" s="9" t="str">
        <f>"10502105806"</f>
        <v>10502105806</v>
      </c>
      <c r="B1718" s="10">
        <v>38.41</v>
      </c>
      <c r="C1718" s="9"/>
      <c r="D1718" s="9">
        <f t="shared" si="26"/>
        <v>38.41</v>
      </c>
      <c r="E1718" s="11"/>
      <c r="F1718" s="9"/>
    </row>
    <row r="1719" s="1" customFormat="1" customHeight="1" spans="1:6">
      <c r="A1719" s="9" t="str">
        <f>"10352105807"</f>
        <v>10352105807</v>
      </c>
      <c r="B1719" s="10">
        <v>0</v>
      </c>
      <c r="C1719" s="9"/>
      <c r="D1719" s="9">
        <f t="shared" si="26"/>
        <v>0</v>
      </c>
      <c r="E1719" s="11"/>
      <c r="F1719" s="9" t="s">
        <v>7</v>
      </c>
    </row>
    <row r="1720" s="1" customFormat="1" customHeight="1" spans="1:6">
      <c r="A1720" s="9" t="str">
        <f>"10072105808"</f>
        <v>10072105808</v>
      </c>
      <c r="B1720" s="10">
        <v>0</v>
      </c>
      <c r="C1720" s="9"/>
      <c r="D1720" s="9">
        <f t="shared" si="26"/>
        <v>0</v>
      </c>
      <c r="E1720" s="11"/>
      <c r="F1720" s="9" t="s">
        <v>7</v>
      </c>
    </row>
    <row r="1721" s="1" customFormat="1" customHeight="1" spans="1:6">
      <c r="A1721" s="9" t="str">
        <f>"10442105809"</f>
        <v>10442105809</v>
      </c>
      <c r="B1721" s="10">
        <v>36.59</v>
      </c>
      <c r="C1721" s="9"/>
      <c r="D1721" s="9">
        <f t="shared" si="26"/>
        <v>36.59</v>
      </c>
      <c r="E1721" s="11"/>
      <c r="F1721" s="9"/>
    </row>
    <row r="1722" s="1" customFormat="1" customHeight="1" spans="1:6">
      <c r="A1722" s="9" t="str">
        <f>"10162105810"</f>
        <v>10162105810</v>
      </c>
      <c r="B1722" s="10">
        <v>0</v>
      </c>
      <c r="C1722" s="9"/>
      <c r="D1722" s="9">
        <f t="shared" si="26"/>
        <v>0</v>
      </c>
      <c r="E1722" s="11"/>
      <c r="F1722" s="9" t="s">
        <v>7</v>
      </c>
    </row>
    <row r="1723" s="1" customFormat="1" customHeight="1" spans="1:6">
      <c r="A1723" s="9" t="str">
        <f>"10522105811"</f>
        <v>10522105811</v>
      </c>
      <c r="B1723" s="10">
        <v>50.14</v>
      </c>
      <c r="C1723" s="9"/>
      <c r="D1723" s="9">
        <f t="shared" si="26"/>
        <v>50.14</v>
      </c>
      <c r="E1723" s="11"/>
      <c r="F1723" s="9"/>
    </row>
    <row r="1724" s="1" customFormat="1" customHeight="1" spans="1:6">
      <c r="A1724" s="9" t="str">
        <f>"10362105812"</f>
        <v>10362105812</v>
      </c>
      <c r="B1724" s="10">
        <v>32.43</v>
      </c>
      <c r="C1724" s="9"/>
      <c r="D1724" s="9">
        <f t="shared" si="26"/>
        <v>32.43</v>
      </c>
      <c r="E1724" s="11"/>
      <c r="F1724" s="9"/>
    </row>
    <row r="1725" s="1" customFormat="1" customHeight="1" spans="1:6">
      <c r="A1725" s="9" t="str">
        <f>"10522105813"</f>
        <v>10522105813</v>
      </c>
      <c r="B1725" s="10">
        <v>34.78</v>
      </c>
      <c r="C1725" s="9"/>
      <c r="D1725" s="9">
        <f t="shared" si="26"/>
        <v>34.78</v>
      </c>
      <c r="E1725" s="11"/>
      <c r="F1725" s="9"/>
    </row>
    <row r="1726" s="1" customFormat="1" customHeight="1" spans="1:6">
      <c r="A1726" s="9" t="str">
        <f>"10512105814"</f>
        <v>10512105814</v>
      </c>
      <c r="B1726" s="10">
        <v>0</v>
      </c>
      <c r="C1726" s="9"/>
      <c r="D1726" s="9">
        <f t="shared" si="26"/>
        <v>0</v>
      </c>
      <c r="E1726" s="11"/>
      <c r="F1726" s="9" t="s">
        <v>7</v>
      </c>
    </row>
    <row r="1727" s="1" customFormat="1" customHeight="1" spans="1:6">
      <c r="A1727" s="9" t="str">
        <f>"10362105815"</f>
        <v>10362105815</v>
      </c>
      <c r="B1727" s="10">
        <v>43.39</v>
      </c>
      <c r="C1727" s="9"/>
      <c r="D1727" s="9">
        <f t="shared" si="26"/>
        <v>43.39</v>
      </c>
      <c r="E1727" s="11"/>
      <c r="F1727" s="9"/>
    </row>
    <row r="1728" s="1" customFormat="1" customHeight="1" spans="1:6">
      <c r="A1728" s="9" t="str">
        <f>"10042105816"</f>
        <v>10042105816</v>
      </c>
      <c r="B1728" s="10">
        <v>0</v>
      </c>
      <c r="C1728" s="9"/>
      <c r="D1728" s="9">
        <f t="shared" si="26"/>
        <v>0</v>
      </c>
      <c r="E1728" s="11"/>
      <c r="F1728" s="9" t="s">
        <v>7</v>
      </c>
    </row>
    <row r="1729" s="1" customFormat="1" customHeight="1" spans="1:6">
      <c r="A1729" s="9" t="str">
        <f>"10362105817"</f>
        <v>10362105817</v>
      </c>
      <c r="B1729" s="10">
        <v>40.84</v>
      </c>
      <c r="C1729" s="9"/>
      <c r="D1729" s="9">
        <f t="shared" si="26"/>
        <v>40.84</v>
      </c>
      <c r="E1729" s="11"/>
      <c r="F1729" s="9"/>
    </row>
    <row r="1730" s="1" customFormat="1" customHeight="1" spans="1:6">
      <c r="A1730" s="9" t="str">
        <f>"10282105818"</f>
        <v>10282105818</v>
      </c>
      <c r="B1730" s="10">
        <v>0</v>
      </c>
      <c r="C1730" s="9"/>
      <c r="D1730" s="9">
        <f t="shared" si="26"/>
        <v>0</v>
      </c>
      <c r="E1730" s="11"/>
      <c r="F1730" s="9" t="s">
        <v>7</v>
      </c>
    </row>
    <row r="1731" s="1" customFormat="1" customHeight="1" spans="1:6">
      <c r="A1731" s="9" t="str">
        <f>"10402105819"</f>
        <v>10402105819</v>
      </c>
      <c r="B1731" s="10">
        <v>43.97</v>
      </c>
      <c r="C1731" s="9"/>
      <c r="D1731" s="9">
        <f t="shared" ref="D1731:D1794" si="27">SUM(B1731:C1731)</f>
        <v>43.97</v>
      </c>
      <c r="E1731" s="11"/>
      <c r="F1731" s="9"/>
    </row>
    <row r="1732" s="1" customFormat="1" customHeight="1" spans="1:6">
      <c r="A1732" s="9" t="str">
        <f>"10512105820"</f>
        <v>10512105820</v>
      </c>
      <c r="B1732" s="10">
        <v>36.88</v>
      </c>
      <c r="C1732" s="9"/>
      <c r="D1732" s="9">
        <f t="shared" si="27"/>
        <v>36.88</v>
      </c>
      <c r="E1732" s="11"/>
      <c r="F1732" s="9"/>
    </row>
    <row r="1733" s="1" customFormat="1" customHeight="1" spans="1:6">
      <c r="A1733" s="9" t="str">
        <f>"10092105821"</f>
        <v>10092105821</v>
      </c>
      <c r="B1733" s="10">
        <v>0</v>
      </c>
      <c r="C1733" s="9"/>
      <c r="D1733" s="9">
        <f t="shared" si="27"/>
        <v>0</v>
      </c>
      <c r="E1733" s="11"/>
      <c r="F1733" s="9" t="s">
        <v>7</v>
      </c>
    </row>
    <row r="1734" s="1" customFormat="1" customHeight="1" spans="1:6">
      <c r="A1734" s="9" t="str">
        <f>"10362105822"</f>
        <v>10362105822</v>
      </c>
      <c r="B1734" s="10">
        <v>38.99</v>
      </c>
      <c r="C1734" s="9"/>
      <c r="D1734" s="9">
        <f t="shared" si="27"/>
        <v>38.99</v>
      </c>
      <c r="E1734" s="11"/>
      <c r="F1734" s="9"/>
    </row>
    <row r="1735" s="1" customFormat="1" customHeight="1" spans="1:6">
      <c r="A1735" s="9" t="str">
        <f>"10492105823"</f>
        <v>10492105823</v>
      </c>
      <c r="B1735" s="10">
        <v>46.37</v>
      </c>
      <c r="C1735" s="9"/>
      <c r="D1735" s="9">
        <f t="shared" si="27"/>
        <v>46.37</v>
      </c>
      <c r="E1735" s="11"/>
      <c r="F1735" s="9"/>
    </row>
    <row r="1736" s="1" customFormat="1" customHeight="1" spans="1:6">
      <c r="A1736" s="9" t="str">
        <f>"10142105824"</f>
        <v>10142105824</v>
      </c>
      <c r="B1736" s="10">
        <v>35.58</v>
      </c>
      <c r="C1736" s="9"/>
      <c r="D1736" s="9">
        <f t="shared" si="27"/>
        <v>35.58</v>
      </c>
      <c r="E1736" s="11"/>
      <c r="F1736" s="9"/>
    </row>
    <row r="1737" s="1" customFormat="1" customHeight="1" spans="1:6">
      <c r="A1737" s="9" t="str">
        <f>"10362105825"</f>
        <v>10362105825</v>
      </c>
      <c r="B1737" s="10">
        <v>56.02</v>
      </c>
      <c r="C1737" s="9"/>
      <c r="D1737" s="9">
        <f t="shared" si="27"/>
        <v>56.02</v>
      </c>
      <c r="E1737" s="11"/>
      <c r="F1737" s="9"/>
    </row>
    <row r="1738" s="1" customFormat="1" customHeight="1" spans="1:6">
      <c r="A1738" s="9" t="str">
        <f>"10232105826"</f>
        <v>10232105826</v>
      </c>
      <c r="B1738" s="10">
        <v>0</v>
      </c>
      <c r="C1738" s="9"/>
      <c r="D1738" s="9">
        <f t="shared" si="27"/>
        <v>0</v>
      </c>
      <c r="E1738" s="11"/>
      <c r="F1738" s="9" t="s">
        <v>7</v>
      </c>
    </row>
    <row r="1739" s="1" customFormat="1" customHeight="1" spans="1:6">
      <c r="A1739" s="9" t="str">
        <f>"10472105827"</f>
        <v>10472105827</v>
      </c>
      <c r="B1739" s="10">
        <v>0</v>
      </c>
      <c r="C1739" s="9"/>
      <c r="D1739" s="9">
        <f t="shared" si="27"/>
        <v>0</v>
      </c>
      <c r="E1739" s="11"/>
      <c r="F1739" s="9" t="s">
        <v>7</v>
      </c>
    </row>
    <row r="1740" s="1" customFormat="1" customHeight="1" spans="1:6">
      <c r="A1740" s="9" t="str">
        <f>"10362105828"</f>
        <v>10362105828</v>
      </c>
      <c r="B1740" s="10">
        <v>30.42</v>
      </c>
      <c r="C1740" s="9"/>
      <c r="D1740" s="9">
        <f t="shared" si="27"/>
        <v>30.42</v>
      </c>
      <c r="E1740" s="11"/>
      <c r="F1740" s="9"/>
    </row>
    <row r="1741" s="1" customFormat="1" customHeight="1" spans="1:6">
      <c r="A1741" s="9" t="str">
        <f>"10302105829"</f>
        <v>10302105829</v>
      </c>
      <c r="B1741" s="10">
        <v>35.83</v>
      </c>
      <c r="C1741" s="9"/>
      <c r="D1741" s="9">
        <f t="shared" si="27"/>
        <v>35.83</v>
      </c>
      <c r="E1741" s="11"/>
      <c r="F1741" s="9"/>
    </row>
    <row r="1742" s="1" customFormat="1" customHeight="1" spans="1:6">
      <c r="A1742" s="9" t="str">
        <f>"10512105830"</f>
        <v>10512105830</v>
      </c>
      <c r="B1742" s="10">
        <v>34.59</v>
      </c>
      <c r="C1742" s="9"/>
      <c r="D1742" s="9">
        <f t="shared" si="27"/>
        <v>34.59</v>
      </c>
      <c r="E1742" s="11"/>
      <c r="F1742" s="9"/>
    </row>
    <row r="1743" s="1" customFormat="1" customHeight="1" spans="1:6">
      <c r="A1743" s="9" t="str">
        <f>"10492105901"</f>
        <v>10492105901</v>
      </c>
      <c r="B1743" s="10">
        <v>43.04</v>
      </c>
      <c r="C1743" s="9"/>
      <c r="D1743" s="9">
        <f t="shared" si="27"/>
        <v>43.04</v>
      </c>
      <c r="E1743" s="11"/>
      <c r="F1743" s="9"/>
    </row>
    <row r="1744" s="1" customFormat="1" customHeight="1" spans="1:6">
      <c r="A1744" s="9" t="str">
        <f>"10522105902"</f>
        <v>10522105902</v>
      </c>
      <c r="B1744" s="10">
        <v>46.67</v>
      </c>
      <c r="C1744" s="9"/>
      <c r="D1744" s="9">
        <f t="shared" si="27"/>
        <v>46.67</v>
      </c>
      <c r="E1744" s="11"/>
      <c r="F1744" s="9"/>
    </row>
    <row r="1745" s="1" customFormat="1" customHeight="1" spans="1:6">
      <c r="A1745" s="9" t="str">
        <f>"10512105903"</f>
        <v>10512105903</v>
      </c>
      <c r="B1745" s="10">
        <v>32.87</v>
      </c>
      <c r="C1745" s="9"/>
      <c r="D1745" s="9">
        <f t="shared" si="27"/>
        <v>32.87</v>
      </c>
      <c r="E1745" s="11"/>
      <c r="F1745" s="9"/>
    </row>
    <row r="1746" s="1" customFormat="1" customHeight="1" spans="1:6">
      <c r="A1746" s="9" t="str">
        <f>"10512105904"</f>
        <v>10512105904</v>
      </c>
      <c r="B1746" s="10">
        <v>28.32</v>
      </c>
      <c r="C1746" s="9"/>
      <c r="D1746" s="9">
        <f t="shared" si="27"/>
        <v>28.32</v>
      </c>
      <c r="E1746" s="11"/>
      <c r="F1746" s="9"/>
    </row>
    <row r="1747" s="1" customFormat="1" customHeight="1" spans="1:6">
      <c r="A1747" s="9" t="str">
        <f>"10362105905"</f>
        <v>10362105905</v>
      </c>
      <c r="B1747" s="10">
        <v>40.04</v>
      </c>
      <c r="C1747" s="9"/>
      <c r="D1747" s="9">
        <f t="shared" si="27"/>
        <v>40.04</v>
      </c>
      <c r="E1747" s="11"/>
      <c r="F1747" s="9"/>
    </row>
    <row r="1748" s="1" customFormat="1" customHeight="1" spans="1:6">
      <c r="A1748" s="9" t="str">
        <f>"10442105906"</f>
        <v>10442105906</v>
      </c>
      <c r="B1748" s="10">
        <v>33.3</v>
      </c>
      <c r="C1748" s="9"/>
      <c r="D1748" s="9">
        <f t="shared" si="27"/>
        <v>33.3</v>
      </c>
      <c r="E1748" s="11"/>
      <c r="F1748" s="9"/>
    </row>
    <row r="1749" s="1" customFormat="1" customHeight="1" spans="1:6">
      <c r="A1749" s="9" t="str">
        <f>"10362105907"</f>
        <v>10362105907</v>
      </c>
      <c r="B1749" s="10">
        <v>41.38</v>
      </c>
      <c r="C1749" s="9"/>
      <c r="D1749" s="9">
        <f t="shared" si="27"/>
        <v>41.38</v>
      </c>
      <c r="E1749" s="11"/>
      <c r="F1749" s="9"/>
    </row>
    <row r="1750" s="1" customFormat="1" customHeight="1" spans="1:6">
      <c r="A1750" s="9" t="str">
        <f>"10242105908"</f>
        <v>10242105908</v>
      </c>
      <c r="B1750" s="10">
        <v>43.89</v>
      </c>
      <c r="C1750" s="9"/>
      <c r="D1750" s="9">
        <f t="shared" si="27"/>
        <v>43.89</v>
      </c>
      <c r="E1750" s="11"/>
      <c r="F1750" s="9"/>
    </row>
    <row r="1751" s="1" customFormat="1" customHeight="1" spans="1:6">
      <c r="A1751" s="9" t="str">
        <f>"10062105909"</f>
        <v>10062105909</v>
      </c>
      <c r="B1751" s="10">
        <v>34.56</v>
      </c>
      <c r="C1751" s="9"/>
      <c r="D1751" s="9">
        <f t="shared" si="27"/>
        <v>34.56</v>
      </c>
      <c r="E1751" s="11"/>
      <c r="F1751" s="9"/>
    </row>
    <row r="1752" s="1" customFormat="1" customHeight="1" spans="1:6">
      <c r="A1752" s="9" t="str">
        <f>"10212105910"</f>
        <v>10212105910</v>
      </c>
      <c r="B1752" s="10">
        <v>50.06</v>
      </c>
      <c r="C1752" s="9"/>
      <c r="D1752" s="9">
        <f t="shared" si="27"/>
        <v>50.06</v>
      </c>
      <c r="E1752" s="11"/>
      <c r="F1752" s="9"/>
    </row>
    <row r="1753" s="1" customFormat="1" customHeight="1" spans="1:6">
      <c r="A1753" s="9" t="str">
        <f>"10532105911"</f>
        <v>10532105911</v>
      </c>
      <c r="B1753" s="10">
        <v>0</v>
      </c>
      <c r="C1753" s="9"/>
      <c r="D1753" s="9">
        <f t="shared" si="27"/>
        <v>0</v>
      </c>
      <c r="E1753" s="11"/>
      <c r="F1753" s="9" t="s">
        <v>7</v>
      </c>
    </row>
    <row r="1754" s="1" customFormat="1" customHeight="1" spans="1:6">
      <c r="A1754" s="9" t="str">
        <f>"10362105912"</f>
        <v>10362105912</v>
      </c>
      <c r="B1754" s="10">
        <v>39.1</v>
      </c>
      <c r="C1754" s="9"/>
      <c r="D1754" s="9">
        <f t="shared" si="27"/>
        <v>39.1</v>
      </c>
      <c r="E1754" s="11"/>
      <c r="F1754" s="9"/>
    </row>
    <row r="1755" s="1" customFormat="1" customHeight="1" spans="1:6">
      <c r="A1755" s="9" t="str">
        <f>"20272105913"</f>
        <v>20272105913</v>
      </c>
      <c r="B1755" s="10">
        <v>37.26</v>
      </c>
      <c r="C1755" s="9"/>
      <c r="D1755" s="9">
        <f t="shared" si="27"/>
        <v>37.26</v>
      </c>
      <c r="E1755" s="11"/>
      <c r="F1755" s="9"/>
    </row>
    <row r="1756" s="1" customFormat="1" customHeight="1" spans="1:6">
      <c r="A1756" s="9" t="str">
        <f>"10512105914"</f>
        <v>10512105914</v>
      </c>
      <c r="B1756" s="10">
        <v>0</v>
      </c>
      <c r="C1756" s="9"/>
      <c r="D1756" s="9">
        <f t="shared" si="27"/>
        <v>0</v>
      </c>
      <c r="E1756" s="11"/>
      <c r="F1756" s="9" t="s">
        <v>7</v>
      </c>
    </row>
    <row r="1757" s="1" customFormat="1" customHeight="1" spans="1:6">
      <c r="A1757" s="9" t="str">
        <f>"10492105915"</f>
        <v>10492105915</v>
      </c>
      <c r="B1757" s="10">
        <v>0</v>
      </c>
      <c r="C1757" s="9"/>
      <c r="D1757" s="9">
        <f t="shared" si="27"/>
        <v>0</v>
      </c>
      <c r="E1757" s="11"/>
      <c r="F1757" s="9" t="s">
        <v>7</v>
      </c>
    </row>
    <row r="1758" s="1" customFormat="1" customHeight="1" spans="1:6">
      <c r="A1758" s="9" t="str">
        <f>"10122105916"</f>
        <v>10122105916</v>
      </c>
      <c r="B1758" s="10">
        <v>33.89</v>
      </c>
      <c r="C1758" s="9"/>
      <c r="D1758" s="9">
        <f t="shared" si="27"/>
        <v>33.89</v>
      </c>
      <c r="E1758" s="11"/>
      <c r="F1758" s="9"/>
    </row>
    <row r="1759" s="1" customFormat="1" customHeight="1" spans="1:6">
      <c r="A1759" s="9" t="str">
        <f>"10392105917"</f>
        <v>10392105917</v>
      </c>
      <c r="B1759" s="10">
        <v>42.76</v>
      </c>
      <c r="C1759" s="9"/>
      <c r="D1759" s="9">
        <f t="shared" si="27"/>
        <v>42.76</v>
      </c>
      <c r="E1759" s="11"/>
      <c r="F1759" s="9"/>
    </row>
    <row r="1760" s="1" customFormat="1" customHeight="1" spans="1:6">
      <c r="A1760" s="9" t="str">
        <f>"10362105918"</f>
        <v>10362105918</v>
      </c>
      <c r="B1760" s="10">
        <v>35.41</v>
      </c>
      <c r="C1760" s="9"/>
      <c r="D1760" s="9">
        <f t="shared" si="27"/>
        <v>35.41</v>
      </c>
      <c r="E1760" s="11"/>
      <c r="F1760" s="9"/>
    </row>
    <row r="1761" s="1" customFormat="1" customHeight="1" spans="1:6">
      <c r="A1761" s="9" t="str">
        <f>"10332105919"</f>
        <v>10332105919</v>
      </c>
      <c r="B1761" s="10">
        <v>0</v>
      </c>
      <c r="C1761" s="9"/>
      <c r="D1761" s="9">
        <f t="shared" si="27"/>
        <v>0</v>
      </c>
      <c r="E1761" s="11"/>
      <c r="F1761" s="9" t="s">
        <v>7</v>
      </c>
    </row>
    <row r="1762" s="1" customFormat="1" customHeight="1" spans="1:6">
      <c r="A1762" s="9" t="str">
        <f>"10022105920"</f>
        <v>10022105920</v>
      </c>
      <c r="B1762" s="10">
        <v>41.75</v>
      </c>
      <c r="C1762" s="9"/>
      <c r="D1762" s="9">
        <f t="shared" si="27"/>
        <v>41.75</v>
      </c>
      <c r="E1762" s="11"/>
      <c r="F1762" s="9"/>
    </row>
    <row r="1763" s="1" customFormat="1" customHeight="1" spans="1:6">
      <c r="A1763" s="9" t="str">
        <f>"10532105921"</f>
        <v>10532105921</v>
      </c>
      <c r="B1763" s="10">
        <v>36.64</v>
      </c>
      <c r="C1763" s="9"/>
      <c r="D1763" s="9">
        <f t="shared" si="27"/>
        <v>36.64</v>
      </c>
      <c r="E1763" s="11"/>
      <c r="F1763" s="9"/>
    </row>
    <row r="1764" s="1" customFormat="1" customHeight="1" spans="1:6">
      <c r="A1764" s="9" t="str">
        <f>"10132105922"</f>
        <v>10132105922</v>
      </c>
      <c r="B1764" s="10">
        <v>39.58</v>
      </c>
      <c r="C1764" s="9"/>
      <c r="D1764" s="9">
        <f t="shared" si="27"/>
        <v>39.58</v>
      </c>
      <c r="E1764" s="11"/>
      <c r="F1764" s="9"/>
    </row>
    <row r="1765" s="1" customFormat="1" customHeight="1" spans="1:6">
      <c r="A1765" s="9" t="str">
        <f>"20272105923"</f>
        <v>20272105923</v>
      </c>
      <c r="B1765" s="10">
        <v>0</v>
      </c>
      <c r="C1765" s="9"/>
      <c r="D1765" s="9">
        <f t="shared" si="27"/>
        <v>0</v>
      </c>
      <c r="E1765" s="11"/>
      <c r="F1765" s="9" t="s">
        <v>7</v>
      </c>
    </row>
    <row r="1766" s="1" customFormat="1" customHeight="1" spans="1:6">
      <c r="A1766" s="9" t="str">
        <f>"10332105924"</f>
        <v>10332105924</v>
      </c>
      <c r="B1766" s="10">
        <v>38.8</v>
      </c>
      <c r="C1766" s="9"/>
      <c r="D1766" s="9">
        <f t="shared" si="27"/>
        <v>38.8</v>
      </c>
      <c r="E1766" s="11"/>
      <c r="F1766" s="9"/>
    </row>
    <row r="1767" s="1" customFormat="1" customHeight="1" spans="1:6">
      <c r="A1767" s="9" t="str">
        <f>"10132105925"</f>
        <v>10132105925</v>
      </c>
      <c r="B1767" s="10">
        <v>0</v>
      </c>
      <c r="C1767" s="9"/>
      <c r="D1767" s="9">
        <f t="shared" si="27"/>
        <v>0</v>
      </c>
      <c r="E1767" s="11"/>
      <c r="F1767" s="9" t="s">
        <v>7</v>
      </c>
    </row>
    <row r="1768" s="1" customFormat="1" customHeight="1" spans="1:6">
      <c r="A1768" s="9" t="str">
        <f>"10502105926"</f>
        <v>10502105926</v>
      </c>
      <c r="B1768" s="10">
        <v>36.16</v>
      </c>
      <c r="C1768" s="9">
        <v>10</v>
      </c>
      <c r="D1768" s="9">
        <f t="shared" si="27"/>
        <v>46.16</v>
      </c>
      <c r="E1768" s="12" t="s">
        <v>8</v>
      </c>
      <c r="F1768" s="9"/>
    </row>
    <row r="1769" s="1" customFormat="1" customHeight="1" spans="1:6">
      <c r="A1769" s="9" t="str">
        <f>"10512105927"</f>
        <v>10512105927</v>
      </c>
      <c r="B1769" s="10">
        <v>0</v>
      </c>
      <c r="C1769" s="9"/>
      <c r="D1769" s="9">
        <f t="shared" si="27"/>
        <v>0</v>
      </c>
      <c r="E1769" s="11"/>
      <c r="F1769" s="9" t="s">
        <v>7</v>
      </c>
    </row>
    <row r="1770" s="1" customFormat="1" customHeight="1" spans="1:6">
      <c r="A1770" s="9" t="str">
        <f>"10062105928"</f>
        <v>10062105928</v>
      </c>
      <c r="B1770" s="10">
        <v>27.35</v>
      </c>
      <c r="C1770" s="9"/>
      <c r="D1770" s="9">
        <f t="shared" si="27"/>
        <v>27.35</v>
      </c>
      <c r="E1770" s="11"/>
      <c r="F1770" s="9"/>
    </row>
    <row r="1771" s="1" customFormat="1" customHeight="1" spans="1:6">
      <c r="A1771" s="9" t="str">
        <f>"10362105929"</f>
        <v>10362105929</v>
      </c>
      <c r="B1771" s="10">
        <v>40.2</v>
      </c>
      <c r="C1771" s="9"/>
      <c r="D1771" s="9">
        <f t="shared" si="27"/>
        <v>40.2</v>
      </c>
      <c r="E1771" s="11"/>
      <c r="F1771" s="9"/>
    </row>
    <row r="1772" s="1" customFormat="1" customHeight="1" spans="1:6">
      <c r="A1772" s="9" t="str">
        <f>"10332105930"</f>
        <v>10332105930</v>
      </c>
      <c r="B1772" s="10">
        <v>0</v>
      </c>
      <c r="C1772" s="9"/>
      <c r="D1772" s="9">
        <f t="shared" si="27"/>
        <v>0</v>
      </c>
      <c r="E1772" s="11"/>
      <c r="F1772" s="9" t="s">
        <v>7</v>
      </c>
    </row>
    <row r="1773" s="1" customFormat="1" customHeight="1" spans="1:6">
      <c r="A1773" s="9" t="str">
        <f>"10362106001"</f>
        <v>10362106001</v>
      </c>
      <c r="B1773" s="10">
        <v>0</v>
      </c>
      <c r="C1773" s="9"/>
      <c r="D1773" s="9">
        <f t="shared" si="27"/>
        <v>0</v>
      </c>
      <c r="E1773" s="11"/>
      <c r="F1773" s="9" t="s">
        <v>7</v>
      </c>
    </row>
    <row r="1774" s="1" customFormat="1" customHeight="1" spans="1:6">
      <c r="A1774" s="9" t="str">
        <f>"10362106002"</f>
        <v>10362106002</v>
      </c>
      <c r="B1774" s="10">
        <v>0</v>
      </c>
      <c r="C1774" s="9"/>
      <c r="D1774" s="9">
        <f t="shared" si="27"/>
        <v>0</v>
      </c>
      <c r="E1774" s="11"/>
      <c r="F1774" s="9" t="s">
        <v>7</v>
      </c>
    </row>
    <row r="1775" s="1" customFormat="1" customHeight="1" spans="1:6">
      <c r="A1775" s="9" t="str">
        <f>"10532106003"</f>
        <v>10532106003</v>
      </c>
      <c r="B1775" s="10">
        <v>28.4</v>
      </c>
      <c r="C1775" s="9"/>
      <c r="D1775" s="9">
        <f t="shared" si="27"/>
        <v>28.4</v>
      </c>
      <c r="E1775" s="11"/>
      <c r="F1775" s="9"/>
    </row>
    <row r="1776" s="1" customFormat="1" customHeight="1" spans="1:6">
      <c r="A1776" s="9" t="str">
        <f>"10442106004"</f>
        <v>10442106004</v>
      </c>
      <c r="B1776" s="10">
        <v>0</v>
      </c>
      <c r="C1776" s="9"/>
      <c r="D1776" s="9">
        <f t="shared" si="27"/>
        <v>0</v>
      </c>
      <c r="E1776" s="11"/>
      <c r="F1776" s="9" t="s">
        <v>7</v>
      </c>
    </row>
    <row r="1777" s="1" customFormat="1" customHeight="1" spans="1:6">
      <c r="A1777" s="9" t="str">
        <f>"10042106005"</f>
        <v>10042106005</v>
      </c>
      <c r="B1777" s="10">
        <v>43.75</v>
      </c>
      <c r="C1777" s="9"/>
      <c r="D1777" s="9">
        <f t="shared" si="27"/>
        <v>43.75</v>
      </c>
      <c r="E1777" s="11"/>
      <c r="F1777" s="9"/>
    </row>
    <row r="1778" s="1" customFormat="1" customHeight="1" spans="1:6">
      <c r="A1778" s="9" t="str">
        <f>"10362106006"</f>
        <v>10362106006</v>
      </c>
      <c r="B1778" s="10">
        <v>0</v>
      </c>
      <c r="C1778" s="9"/>
      <c r="D1778" s="9">
        <f t="shared" si="27"/>
        <v>0</v>
      </c>
      <c r="E1778" s="11"/>
      <c r="F1778" s="9" t="s">
        <v>7</v>
      </c>
    </row>
    <row r="1779" s="1" customFormat="1" customHeight="1" spans="1:6">
      <c r="A1779" s="9" t="str">
        <f>"10022106007"</f>
        <v>10022106007</v>
      </c>
      <c r="B1779" s="10">
        <v>33.74</v>
      </c>
      <c r="C1779" s="9"/>
      <c r="D1779" s="9">
        <f t="shared" si="27"/>
        <v>33.74</v>
      </c>
      <c r="E1779" s="11"/>
      <c r="F1779" s="9"/>
    </row>
    <row r="1780" s="1" customFormat="1" customHeight="1" spans="1:6">
      <c r="A1780" s="9" t="str">
        <f>"10242106008"</f>
        <v>10242106008</v>
      </c>
      <c r="B1780" s="10">
        <v>0</v>
      </c>
      <c r="C1780" s="9"/>
      <c r="D1780" s="9">
        <f t="shared" si="27"/>
        <v>0</v>
      </c>
      <c r="E1780" s="11"/>
      <c r="F1780" s="9" t="s">
        <v>7</v>
      </c>
    </row>
    <row r="1781" s="1" customFormat="1" customHeight="1" spans="1:6">
      <c r="A1781" s="9" t="str">
        <f>"10182106009"</f>
        <v>10182106009</v>
      </c>
      <c r="B1781" s="10">
        <v>29.04</v>
      </c>
      <c r="C1781" s="9"/>
      <c r="D1781" s="9">
        <f t="shared" si="27"/>
        <v>29.04</v>
      </c>
      <c r="E1781" s="11"/>
      <c r="F1781" s="9"/>
    </row>
    <row r="1782" s="1" customFormat="1" customHeight="1" spans="1:6">
      <c r="A1782" s="9" t="str">
        <f>"10532106010"</f>
        <v>10532106010</v>
      </c>
      <c r="B1782" s="10">
        <v>30.05</v>
      </c>
      <c r="C1782" s="9"/>
      <c r="D1782" s="9">
        <f t="shared" si="27"/>
        <v>30.05</v>
      </c>
      <c r="E1782" s="11"/>
      <c r="F1782" s="9"/>
    </row>
    <row r="1783" s="1" customFormat="1" customHeight="1" spans="1:6">
      <c r="A1783" s="9" t="str">
        <f>"10362106011"</f>
        <v>10362106011</v>
      </c>
      <c r="B1783" s="10">
        <v>0</v>
      </c>
      <c r="C1783" s="9"/>
      <c r="D1783" s="9">
        <f t="shared" si="27"/>
        <v>0</v>
      </c>
      <c r="E1783" s="11"/>
      <c r="F1783" s="9" t="s">
        <v>7</v>
      </c>
    </row>
    <row r="1784" s="1" customFormat="1" customHeight="1" spans="1:6">
      <c r="A1784" s="9" t="str">
        <f>"10162106012"</f>
        <v>10162106012</v>
      </c>
      <c r="B1784" s="10">
        <v>45.91</v>
      </c>
      <c r="C1784" s="9"/>
      <c r="D1784" s="9">
        <f t="shared" si="27"/>
        <v>45.91</v>
      </c>
      <c r="E1784" s="11"/>
      <c r="F1784" s="9"/>
    </row>
    <row r="1785" s="1" customFormat="1" customHeight="1" spans="1:6">
      <c r="A1785" s="9" t="str">
        <f>"10332106013"</f>
        <v>10332106013</v>
      </c>
      <c r="B1785" s="10">
        <v>39.97</v>
      </c>
      <c r="C1785" s="9"/>
      <c r="D1785" s="9">
        <f t="shared" si="27"/>
        <v>39.97</v>
      </c>
      <c r="E1785" s="11"/>
      <c r="F1785" s="9"/>
    </row>
    <row r="1786" s="1" customFormat="1" customHeight="1" spans="1:6">
      <c r="A1786" s="9" t="str">
        <f>"10172106014"</f>
        <v>10172106014</v>
      </c>
      <c r="B1786" s="10">
        <v>0</v>
      </c>
      <c r="C1786" s="9"/>
      <c r="D1786" s="9">
        <f t="shared" si="27"/>
        <v>0</v>
      </c>
      <c r="E1786" s="11"/>
      <c r="F1786" s="9" t="s">
        <v>7</v>
      </c>
    </row>
    <row r="1787" s="1" customFormat="1" customHeight="1" spans="1:6">
      <c r="A1787" s="9" t="str">
        <f>"10532106015"</f>
        <v>10532106015</v>
      </c>
      <c r="B1787" s="10">
        <v>42.76</v>
      </c>
      <c r="C1787" s="9"/>
      <c r="D1787" s="9">
        <f t="shared" si="27"/>
        <v>42.76</v>
      </c>
      <c r="E1787" s="11"/>
      <c r="F1787" s="9"/>
    </row>
    <row r="1788" s="1" customFormat="1" customHeight="1" spans="1:6">
      <c r="A1788" s="9" t="str">
        <f>"10342106016"</f>
        <v>10342106016</v>
      </c>
      <c r="B1788" s="10">
        <v>40.7</v>
      </c>
      <c r="C1788" s="9"/>
      <c r="D1788" s="9">
        <f t="shared" si="27"/>
        <v>40.7</v>
      </c>
      <c r="E1788" s="11"/>
      <c r="F1788" s="9"/>
    </row>
    <row r="1789" s="1" customFormat="1" customHeight="1" spans="1:6">
      <c r="A1789" s="9" t="str">
        <f>"10512106017"</f>
        <v>10512106017</v>
      </c>
      <c r="B1789" s="10">
        <v>32.39</v>
      </c>
      <c r="C1789" s="9"/>
      <c r="D1789" s="9">
        <f t="shared" si="27"/>
        <v>32.39</v>
      </c>
      <c r="E1789" s="11"/>
      <c r="F1789" s="9"/>
    </row>
    <row r="1790" s="1" customFormat="1" customHeight="1" spans="1:6">
      <c r="A1790" s="9" t="str">
        <f>"10532106018"</f>
        <v>10532106018</v>
      </c>
      <c r="B1790" s="10">
        <v>0</v>
      </c>
      <c r="C1790" s="9"/>
      <c r="D1790" s="9">
        <f t="shared" si="27"/>
        <v>0</v>
      </c>
      <c r="E1790" s="11"/>
      <c r="F1790" s="9" t="s">
        <v>7</v>
      </c>
    </row>
    <row r="1791" s="1" customFormat="1" customHeight="1" spans="1:6">
      <c r="A1791" s="9" t="str">
        <f>"10152106019"</f>
        <v>10152106019</v>
      </c>
      <c r="B1791" s="10">
        <v>46.07</v>
      </c>
      <c r="C1791" s="9"/>
      <c r="D1791" s="9">
        <f t="shared" si="27"/>
        <v>46.07</v>
      </c>
      <c r="E1791" s="11"/>
      <c r="F1791" s="9"/>
    </row>
    <row r="1792" s="1" customFormat="1" customHeight="1" spans="1:6">
      <c r="A1792" s="9" t="str">
        <f>"10302106020"</f>
        <v>10302106020</v>
      </c>
      <c r="B1792" s="10">
        <v>28.97</v>
      </c>
      <c r="C1792" s="9"/>
      <c r="D1792" s="9">
        <f t="shared" si="27"/>
        <v>28.97</v>
      </c>
      <c r="E1792" s="11"/>
      <c r="F1792" s="9"/>
    </row>
    <row r="1793" s="1" customFormat="1" customHeight="1" spans="1:6">
      <c r="A1793" s="9" t="str">
        <f>"10472106021"</f>
        <v>10472106021</v>
      </c>
      <c r="B1793" s="10">
        <v>50.38</v>
      </c>
      <c r="C1793" s="9"/>
      <c r="D1793" s="9">
        <f t="shared" si="27"/>
        <v>50.38</v>
      </c>
      <c r="E1793" s="11"/>
      <c r="F1793" s="9"/>
    </row>
    <row r="1794" s="1" customFormat="1" customHeight="1" spans="1:6">
      <c r="A1794" s="9" t="str">
        <f>"10302106022"</f>
        <v>10302106022</v>
      </c>
      <c r="B1794" s="10">
        <v>47.11</v>
      </c>
      <c r="C1794" s="9"/>
      <c r="D1794" s="9">
        <f t="shared" si="27"/>
        <v>47.11</v>
      </c>
      <c r="E1794" s="11"/>
      <c r="F1794" s="9"/>
    </row>
    <row r="1795" s="1" customFormat="1" customHeight="1" spans="1:6">
      <c r="A1795" s="9" t="str">
        <f>"10282106023"</f>
        <v>10282106023</v>
      </c>
      <c r="B1795" s="10">
        <v>46.12</v>
      </c>
      <c r="C1795" s="9"/>
      <c r="D1795" s="9">
        <f t="shared" ref="D1795:D1858" si="28">SUM(B1795:C1795)</f>
        <v>46.12</v>
      </c>
      <c r="E1795" s="11"/>
      <c r="F1795" s="9"/>
    </row>
    <row r="1796" s="1" customFormat="1" customHeight="1" spans="1:6">
      <c r="A1796" s="9" t="str">
        <f>"10212106024"</f>
        <v>10212106024</v>
      </c>
      <c r="B1796" s="10">
        <v>46.93</v>
      </c>
      <c r="C1796" s="9"/>
      <c r="D1796" s="9">
        <f t="shared" si="28"/>
        <v>46.93</v>
      </c>
      <c r="E1796" s="11"/>
      <c r="F1796" s="9"/>
    </row>
    <row r="1797" s="1" customFormat="1" customHeight="1" spans="1:6">
      <c r="A1797" s="9" t="str">
        <f>"10512106025"</f>
        <v>10512106025</v>
      </c>
      <c r="B1797" s="10">
        <v>35.2</v>
      </c>
      <c r="C1797" s="9">
        <v>10</v>
      </c>
      <c r="D1797" s="9">
        <f t="shared" si="28"/>
        <v>45.2</v>
      </c>
      <c r="E1797" s="12" t="s">
        <v>8</v>
      </c>
      <c r="F1797" s="9"/>
    </row>
    <row r="1798" s="1" customFormat="1" customHeight="1" spans="1:6">
      <c r="A1798" s="9" t="str">
        <f>"10302106026"</f>
        <v>10302106026</v>
      </c>
      <c r="B1798" s="10">
        <v>0</v>
      </c>
      <c r="C1798" s="9"/>
      <c r="D1798" s="9">
        <f t="shared" si="28"/>
        <v>0</v>
      </c>
      <c r="E1798" s="11"/>
      <c r="F1798" s="9" t="s">
        <v>7</v>
      </c>
    </row>
    <row r="1799" s="1" customFormat="1" customHeight="1" spans="1:6">
      <c r="A1799" s="9" t="str">
        <f>"10042106027"</f>
        <v>10042106027</v>
      </c>
      <c r="B1799" s="10">
        <v>48.45</v>
      </c>
      <c r="C1799" s="9"/>
      <c r="D1799" s="9">
        <f t="shared" si="28"/>
        <v>48.45</v>
      </c>
      <c r="E1799" s="11"/>
      <c r="F1799" s="9"/>
    </row>
    <row r="1800" s="1" customFormat="1" customHeight="1" spans="1:6">
      <c r="A1800" s="9" t="str">
        <f>"10382106028"</f>
        <v>10382106028</v>
      </c>
      <c r="B1800" s="10">
        <v>46.63</v>
      </c>
      <c r="C1800" s="9"/>
      <c r="D1800" s="9">
        <f t="shared" si="28"/>
        <v>46.63</v>
      </c>
      <c r="E1800" s="11"/>
      <c r="F1800" s="9"/>
    </row>
    <row r="1801" s="1" customFormat="1" customHeight="1" spans="1:6">
      <c r="A1801" s="9" t="str">
        <f>"10362106029"</f>
        <v>10362106029</v>
      </c>
      <c r="B1801" s="10">
        <v>40.14</v>
      </c>
      <c r="C1801" s="9"/>
      <c r="D1801" s="9">
        <f t="shared" si="28"/>
        <v>40.14</v>
      </c>
      <c r="E1801" s="11"/>
      <c r="F1801" s="9"/>
    </row>
    <row r="1802" s="1" customFormat="1" customHeight="1" spans="1:6">
      <c r="A1802" s="9" t="str">
        <f>"10302106030"</f>
        <v>10302106030</v>
      </c>
      <c r="B1802" s="10">
        <v>42.4</v>
      </c>
      <c r="C1802" s="9"/>
      <c r="D1802" s="9">
        <f t="shared" si="28"/>
        <v>42.4</v>
      </c>
      <c r="E1802" s="11"/>
      <c r="F1802" s="9"/>
    </row>
    <row r="1803" s="1" customFormat="1" customHeight="1" spans="1:6">
      <c r="A1803" s="9" t="str">
        <f>"10522106101"</f>
        <v>10522106101</v>
      </c>
      <c r="B1803" s="10">
        <v>47.45</v>
      </c>
      <c r="C1803" s="9"/>
      <c r="D1803" s="9">
        <f t="shared" si="28"/>
        <v>47.45</v>
      </c>
      <c r="E1803" s="11"/>
      <c r="F1803" s="9"/>
    </row>
    <row r="1804" s="1" customFormat="1" customHeight="1" spans="1:6">
      <c r="A1804" s="9" t="str">
        <f>"10142106102"</f>
        <v>10142106102</v>
      </c>
      <c r="B1804" s="10">
        <v>51.41</v>
      </c>
      <c r="C1804" s="9"/>
      <c r="D1804" s="9">
        <f t="shared" si="28"/>
        <v>51.41</v>
      </c>
      <c r="E1804" s="11"/>
      <c r="F1804" s="9"/>
    </row>
    <row r="1805" s="1" customFormat="1" customHeight="1" spans="1:6">
      <c r="A1805" s="9" t="str">
        <f>"10332106103"</f>
        <v>10332106103</v>
      </c>
      <c r="B1805" s="10">
        <v>39.76</v>
      </c>
      <c r="C1805" s="9"/>
      <c r="D1805" s="9">
        <f t="shared" si="28"/>
        <v>39.76</v>
      </c>
      <c r="E1805" s="11"/>
      <c r="F1805" s="9"/>
    </row>
    <row r="1806" s="1" customFormat="1" customHeight="1" spans="1:6">
      <c r="A1806" s="9" t="str">
        <f>"10452106104"</f>
        <v>10452106104</v>
      </c>
      <c r="B1806" s="10">
        <v>44.06</v>
      </c>
      <c r="C1806" s="9"/>
      <c r="D1806" s="9">
        <f t="shared" si="28"/>
        <v>44.06</v>
      </c>
      <c r="E1806" s="11"/>
      <c r="F1806" s="9"/>
    </row>
    <row r="1807" s="1" customFormat="1" customHeight="1" spans="1:6">
      <c r="A1807" s="9" t="str">
        <f>"10512106105"</f>
        <v>10512106105</v>
      </c>
      <c r="B1807" s="10">
        <v>33.23</v>
      </c>
      <c r="C1807" s="9"/>
      <c r="D1807" s="9">
        <f t="shared" si="28"/>
        <v>33.23</v>
      </c>
      <c r="E1807" s="11"/>
      <c r="F1807" s="9"/>
    </row>
    <row r="1808" s="1" customFormat="1" customHeight="1" spans="1:6">
      <c r="A1808" s="9" t="str">
        <f>"10442106106"</f>
        <v>10442106106</v>
      </c>
      <c r="B1808" s="10">
        <v>30.55</v>
      </c>
      <c r="C1808" s="9"/>
      <c r="D1808" s="9">
        <f t="shared" si="28"/>
        <v>30.55</v>
      </c>
      <c r="E1808" s="11"/>
      <c r="F1808" s="9"/>
    </row>
    <row r="1809" s="1" customFormat="1" customHeight="1" spans="1:6">
      <c r="A1809" s="9" t="str">
        <f>"10432106107"</f>
        <v>10432106107</v>
      </c>
      <c r="B1809" s="10">
        <v>36.06</v>
      </c>
      <c r="C1809" s="9"/>
      <c r="D1809" s="9">
        <f t="shared" si="28"/>
        <v>36.06</v>
      </c>
      <c r="E1809" s="11"/>
      <c r="F1809" s="9"/>
    </row>
    <row r="1810" s="1" customFormat="1" customHeight="1" spans="1:6">
      <c r="A1810" s="9" t="str">
        <f>"10342106108"</f>
        <v>10342106108</v>
      </c>
      <c r="B1810" s="10">
        <v>32.69</v>
      </c>
      <c r="C1810" s="9"/>
      <c r="D1810" s="9">
        <f t="shared" si="28"/>
        <v>32.69</v>
      </c>
      <c r="E1810" s="11"/>
      <c r="F1810" s="9"/>
    </row>
    <row r="1811" s="1" customFormat="1" customHeight="1" spans="1:6">
      <c r="A1811" s="9" t="str">
        <f>"10462106109"</f>
        <v>10462106109</v>
      </c>
      <c r="B1811" s="10">
        <v>46.13</v>
      </c>
      <c r="C1811" s="9"/>
      <c r="D1811" s="9">
        <f t="shared" si="28"/>
        <v>46.13</v>
      </c>
      <c r="E1811" s="11"/>
      <c r="F1811" s="9"/>
    </row>
    <row r="1812" s="1" customFormat="1" customHeight="1" spans="1:6">
      <c r="A1812" s="9" t="str">
        <f>"10362106110"</f>
        <v>10362106110</v>
      </c>
      <c r="B1812" s="10">
        <v>31</v>
      </c>
      <c r="C1812" s="9"/>
      <c r="D1812" s="9">
        <f t="shared" si="28"/>
        <v>31</v>
      </c>
      <c r="E1812" s="11"/>
      <c r="F1812" s="9"/>
    </row>
    <row r="1813" s="1" customFormat="1" customHeight="1" spans="1:6">
      <c r="A1813" s="9" t="str">
        <f>"10232106111"</f>
        <v>10232106111</v>
      </c>
      <c r="B1813" s="10">
        <v>44.81</v>
      </c>
      <c r="C1813" s="9"/>
      <c r="D1813" s="9">
        <f t="shared" si="28"/>
        <v>44.81</v>
      </c>
      <c r="E1813" s="11"/>
      <c r="F1813" s="9"/>
    </row>
    <row r="1814" s="1" customFormat="1" customHeight="1" spans="1:6">
      <c r="A1814" s="9" t="str">
        <f>"10442106112"</f>
        <v>10442106112</v>
      </c>
      <c r="B1814" s="10">
        <v>45.94</v>
      </c>
      <c r="C1814" s="9"/>
      <c r="D1814" s="9">
        <f t="shared" si="28"/>
        <v>45.94</v>
      </c>
      <c r="E1814" s="11"/>
      <c r="F1814" s="9"/>
    </row>
    <row r="1815" s="1" customFormat="1" customHeight="1" spans="1:6">
      <c r="A1815" s="9" t="str">
        <f>"10302106113"</f>
        <v>10302106113</v>
      </c>
      <c r="B1815" s="10">
        <v>38.81</v>
      </c>
      <c r="C1815" s="9"/>
      <c r="D1815" s="9">
        <f t="shared" si="28"/>
        <v>38.81</v>
      </c>
      <c r="E1815" s="11"/>
      <c r="F1815" s="9"/>
    </row>
    <row r="1816" s="1" customFormat="1" customHeight="1" spans="1:6">
      <c r="A1816" s="9" t="str">
        <f>"10092106114"</f>
        <v>10092106114</v>
      </c>
      <c r="B1816" s="10">
        <v>38.41</v>
      </c>
      <c r="C1816" s="9"/>
      <c r="D1816" s="9">
        <f t="shared" si="28"/>
        <v>38.41</v>
      </c>
      <c r="E1816" s="11"/>
      <c r="F1816" s="9"/>
    </row>
    <row r="1817" s="1" customFormat="1" customHeight="1" spans="1:6">
      <c r="A1817" s="9" t="str">
        <f>"10062106115"</f>
        <v>10062106115</v>
      </c>
      <c r="B1817" s="10">
        <v>0</v>
      </c>
      <c r="C1817" s="9"/>
      <c r="D1817" s="9">
        <f t="shared" si="28"/>
        <v>0</v>
      </c>
      <c r="E1817" s="11"/>
      <c r="F1817" s="9" t="s">
        <v>7</v>
      </c>
    </row>
    <row r="1818" s="1" customFormat="1" customHeight="1" spans="1:6">
      <c r="A1818" s="9" t="str">
        <f>"10372106116"</f>
        <v>10372106116</v>
      </c>
      <c r="B1818" s="10">
        <v>39.62</v>
      </c>
      <c r="C1818" s="9"/>
      <c r="D1818" s="9">
        <f t="shared" si="28"/>
        <v>39.62</v>
      </c>
      <c r="E1818" s="11"/>
      <c r="F1818" s="9"/>
    </row>
    <row r="1819" s="1" customFormat="1" customHeight="1" spans="1:6">
      <c r="A1819" s="9" t="str">
        <f>"10362106117"</f>
        <v>10362106117</v>
      </c>
      <c r="B1819" s="10">
        <v>35.85</v>
      </c>
      <c r="C1819" s="9"/>
      <c r="D1819" s="9">
        <f t="shared" si="28"/>
        <v>35.85</v>
      </c>
      <c r="E1819" s="11"/>
      <c r="F1819" s="9"/>
    </row>
    <row r="1820" s="1" customFormat="1" customHeight="1" spans="1:6">
      <c r="A1820" s="9" t="str">
        <f>"10362106118"</f>
        <v>10362106118</v>
      </c>
      <c r="B1820" s="10">
        <v>32.87</v>
      </c>
      <c r="C1820" s="9"/>
      <c r="D1820" s="9">
        <f t="shared" si="28"/>
        <v>32.87</v>
      </c>
      <c r="E1820" s="11"/>
      <c r="F1820" s="9"/>
    </row>
    <row r="1821" s="1" customFormat="1" customHeight="1" spans="1:6">
      <c r="A1821" s="9" t="str">
        <f>"10442106119"</f>
        <v>10442106119</v>
      </c>
      <c r="B1821" s="10">
        <v>32.09</v>
      </c>
      <c r="C1821" s="9"/>
      <c r="D1821" s="9">
        <f t="shared" si="28"/>
        <v>32.09</v>
      </c>
      <c r="E1821" s="11"/>
      <c r="F1821" s="9"/>
    </row>
    <row r="1822" s="1" customFormat="1" customHeight="1" spans="1:6">
      <c r="A1822" s="9" t="str">
        <f>"10292106120"</f>
        <v>10292106120</v>
      </c>
      <c r="B1822" s="10">
        <v>29.03</v>
      </c>
      <c r="C1822" s="9"/>
      <c r="D1822" s="9">
        <f t="shared" si="28"/>
        <v>29.03</v>
      </c>
      <c r="E1822" s="11"/>
      <c r="F1822" s="9"/>
    </row>
    <row r="1823" s="1" customFormat="1" customHeight="1" spans="1:6">
      <c r="A1823" s="9" t="str">
        <f>"10362106121"</f>
        <v>10362106121</v>
      </c>
      <c r="B1823" s="10">
        <v>36.87</v>
      </c>
      <c r="C1823" s="9"/>
      <c r="D1823" s="9">
        <f t="shared" si="28"/>
        <v>36.87</v>
      </c>
      <c r="E1823" s="11"/>
      <c r="F1823" s="9"/>
    </row>
    <row r="1824" s="1" customFormat="1" customHeight="1" spans="1:6">
      <c r="A1824" s="9" t="str">
        <f>"10012106122"</f>
        <v>10012106122</v>
      </c>
      <c r="B1824" s="10">
        <v>40.4</v>
      </c>
      <c r="C1824" s="9"/>
      <c r="D1824" s="9">
        <f t="shared" si="28"/>
        <v>40.4</v>
      </c>
      <c r="E1824" s="11"/>
      <c r="F1824" s="9"/>
    </row>
    <row r="1825" s="1" customFormat="1" customHeight="1" spans="1:6">
      <c r="A1825" s="9" t="str">
        <f>"10512106123"</f>
        <v>10512106123</v>
      </c>
      <c r="B1825" s="10">
        <v>0</v>
      </c>
      <c r="C1825" s="9"/>
      <c r="D1825" s="9">
        <f t="shared" si="28"/>
        <v>0</v>
      </c>
      <c r="E1825" s="11"/>
      <c r="F1825" s="9" t="s">
        <v>7</v>
      </c>
    </row>
    <row r="1826" s="1" customFormat="1" customHeight="1" spans="1:6">
      <c r="A1826" s="9" t="str">
        <f>"10532106124"</f>
        <v>10532106124</v>
      </c>
      <c r="B1826" s="10">
        <v>39.67</v>
      </c>
      <c r="C1826" s="9"/>
      <c r="D1826" s="9">
        <f t="shared" si="28"/>
        <v>39.67</v>
      </c>
      <c r="E1826" s="11"/>
      <c r="F1826" s="9"/>
    </row>
    <row r="1827" s="1" customFormat="1" customHeight="1" spans="1:6">
      <c r="A1827" s="9" t="str">
        <f>"10062106125"</f>
        <v>10062106125</v>
      </c>
      <c r="B1827" s="10">
        <v>42.72</v>
      </c>
      <c r="C1827" s="9"/>
      <c r="D1827" s="9">
        <f t="shared" si="28"/>
        <v>42.72</v>
      </c>
      <c r="E1827" s="11"/>
      <c r="F1827" s="9"/>
    </row>
    <row r="1828" s="1" customFormat="1" customHeight="1" spans="1:6">
      <c r="A1828" s="9" t="str">
        <f>"10302106126"</f>
        <v>10302106126</v>
      </c>
      <c r="B1828" s="10">
        <v>40.39</v>
      </c>
      <c r="C1828" s="9"/>
      <c r="D1828" s="9">
        <f t="shared" si="28"/>
        <v>40.39</v>
      </c>
      <c r="E1828" s="11"/>
      <c r="F1828" s="9"/>
    </row>
    <row r="1829" s="1" customFormat="1" customHeight="1" spans="1:6">
      <c r="A1829" s="9" t="str">
        <f>"10212106127"</f>
        <v>10212106127</v>
      </c>
      <c r="B1829" s="10">
        <v>39.31</v>
      </c>
      <c r="C1829" s="9"/>
      <c r="D1829" s="9">
        <f t="shared" si="28"/>
        <v>39.31</v>
      </c>
      <c r="E1829" s="11"/>
      <c r="F1829" s="9"/>
    </row>
    <row r="1830" s="1" customFormat="1" customHeight="1" spans="1:6">
      <c r="A1830" s="9" t="str">
        <f>"10302106128"</f>
        <v>10302106128</v>
      </c>
      <c r="B1830" s="10">
        <v>38.91</v>
      </c>
      <c r="C1830" s="9"/>
      <c r="D1830" s="9">
        <f t="shared" si="28"/>
        <v>38.91</v>
      </c>
      <c r="E1830" s="11"/>
      <c r="F1830" s="9"/>
    </row>
    <row r="1831" s="1" customFormat="1" customHeight="1" spans="1:6">
      <c r="A1831" s="9" t="str">
        <f>"10022106129"</f>
        <v>10022106129</v>
      </c>
      <c r="B1831" s="10">
        <v>45.54</v>
      </c>
      <c r="C1831" s="9"/>
      <c r="D1831" s="9">
        <f t="shared" si="28"/>
        <v>45.54</v>
      </c>
      <c r="E1831" s="11"/>
      <c r="F1831" s="9"/>
    </row>
    <row r="1832" s="1" customFormat="1" customHeight="1" spans="1:6">
      <c r="A1832" s="9" t="str">
        <f>"10532106130"</f>
        <v>10532106130</v>
      </c>
      <c r="B1832" s="10">
        <v>0</v>
      </c>
      <c r="C1832" s="9"/>
      <c r="D1832" s="9">
        <f t="shared" si="28"/>
        <v>0</v>
      </c>
      <c r="E1832" s="11"/>
      <c r="F1832" s="9" t="s">
        <v>7</v>
      </c>
    </row>
    <row r="1833" s="1" customFormat="1" customHeight="1" spans="1:6">
      <c r="A1833" s="9" t="str">
        <f>"10082106201"</f>
        <v>10082106201</v>
      </c>
      <c r="B1833" s="10">
        <v>33.7</v>
      </c>
      <c r="C1833" s="9"/>
      <c r="D1833" s="9">
        <f t="shared" si="28"/>
        <v>33.7</v>
      </c>
      <c r="E1833" s="11"/>
      <c r="F1833" s="9"/>
    </row>
    <row r="1834" s="1" customFormat="1" customHeight="1" spans="1:6">
      <c r="A1834" s="9" t="str">
        <f>"10072106202"</f>
        <v>10072106202</v>
      </c>
      <c r="B1834" s="10">
        <v>0</v>
      </c>
      <c r="C1834" s="9"/>
      <c r="D1834" s="9">
        <f t="shared" si="28"/>
        <v>0</v>
      </c>
      <c r="E1834" s="11"/>
      <c r="F1834" s="9" t="s">
        <v>7</v>
      </c>
    </row>
    <row r="1835" s="1" customFormat="1" customHeight="1" spans="1:6">
      <c r="A1835" s="9" t="str">
        <f>"10242106203"</f>
        <v>10242106203</v>
      </c>
      <c r="B1835" s="10">
        <v>0</v>
      </c>
      <c r="C1835" s="9"/>
      <c r="D1835" s="9">
        <f t="shared" si="28"/>
        <v>0</v>
      </c>
      <c r="E1835" s="11"/>
      <c r="F1835" s="9" t="s">
        <v>7</v>
      </c>
    </row>
    <row r="1836" s="1" customFormat="1" customHeight="1" spans="1:6">
      <c r="A1836" s="9" t="str">
        <f>"10362106204"</f>
        <v>10362106204</v>
      </c>
      <c r="B1836" s="10">
        <v>35.8</v>
      </c>
      <c r="C1836" s="9"/>
      <c r="D1836" s="9">
        <f t="shared" si="28"/>
        <v>35.8</v>
      </c>
      <c r="E1836" s="11"/>
      <c r="F1836" s="9"/>
    </row>
    <row r="1837" s="1" customFormat="1" customHeight="1" spans="1:6">
      <c r="A1837" s="9" t="str">
        <f>"10362106205"</f>
        <v>10362106205</v>
      </c>
      <c r="B1837" s="10">
        <v>37.9</v>
      </c>
      <c r="C1837" s="9"/>
      <c r="D1837" s="9">
        <f t="shared" si="28"/>
        <v>37.9</v>
      </c>
      <c r="E1837" s="11"/>
      <c r="F1837" s="9"/>
    </row>
    <row r="1838" s="1" customFormat="1" customHeight="1" spans="1:6">
      <c r="A1838" s="9" t="str">
        <f>"10302106206"</f>
        <v>10302106206</v>
      </c>
      <c r="B1838" s="10">
        <v>0</v>
      </c>
      <c r="C1838" s="9"/>
      <c r="D1838" s="9">
        <f t="shared" si="28"/>
        <v>0</v>
      </c>
      <c r="E1838" s="11"/>
      <c r="F1838" s="9" t="s">
        <v>7</v>
      </c>
    </row>
    <row r="1839" s="1" customFormat="1" customHeight="1" spans="1:6">
      <c r="A1839" s="9" t="str">
        <f>"10182106207"</f>
        <v>10182106207</v>
      </c>
      <c r="B1839" s="10">
        <v>35.95</v>
      </c>
      <c r="C1839" s="9"/>
      <c r="D1839" s="9">
        <f t="shared" si="28"/>
        <v>35.95</v>
      </c>
      <c r="E1839" s="11"/>
      <c r="F1839" s="9"/>
    </row>
    <row r="1840" s="1" customFormat="1" customHeight="1" spans="1:6">
      <c r="A1840" s="9" t="str">
        <f>"10362106208"</f>
        <v>10362106208</v>
      </c>
      <c r="B1840" s="10">
        <v>43.2</v>
      </c>
      <c r="C1840" s="9"/>
      <c r="D1840" s="9">
        <f t="shared" si="28"/>
        <v>43.2</v>
      </c>
      <c r="E1840" s="11"/>
      <c r="F1840" s="9"/>
    </row>
    <row r="1841" s="1" customFormat="1" customHeight="1" spans="1:6">
      <c r="A1841" s="9" t="str">
        <f>"10362106209"</f>
        <v>10362106209</v>
      </c>
      <c r="B1841" s="10">
        <v>37.13</v>
      </c>
      <c r="C1841" s="9"/>
      <c r="D1841" s="9">
        <f t="shared" si="28"/>
        <v>37.13</v>
      </c>
      <c r="E1841" s="11"/>
      <c r="F1841" s="9"/>
    </row>
    <row r="1842" s="1" customFormat="1" customHeight="1" spans="1:6">
      <c r="A1842" s="9" t="str">
        <f>"10362106210"</f>
        <v>10362106210</v>
      </c>
      <c r="B1842" s="10">
        <v>28.16</v>
      </c>
      <c r="C1842" s="9"/>
      <c r="D1842" s="9">
        <f t="shared" si="28"/>
        <v>28.16</v>
      </c>
      <c r="E1842" s="11"/>
      <c r="F1842" s="9"/>
    </row>
    <row r="1843" s="1" customFormat="1" customHeight="1" spans="1:6">
      <c r="A1843" s="9" t="str">
        <f>"10242106211"</f>
        <v>10242106211</v>
      </c>
      <c r="B1843" s="10">
        <v>40.22</v>
      </c>
      <c r="C1843" s="9"/>
      <c r="D1843" s="9">
        <f t="shared" si="28"/>
        <v>40.22</v>
      </c>
      <c r="E1843" s="11"/>
      <c r="F1843" s="9"/>
    </row>
    <row r="1844" s="1" customFormat="1" customHeight="1" spans="1:6">
      <c r="A1844" s="9" t="str">
        <f>"10532106212"</f>
        <v>10532106212</v>
      </c>
      <c r="B1844" s="10">
        <v>0</v>
      </c>
      <c r="C1844" s="9"/>
      <c r="D1844" s="9">
        <f t="shared" si="28"/>
        <v>0</v>
      </c>
      <c r="E1844" s="11"/>
      <c r="F1844" s="9" t="s">
        <v>7</v>
      </c>
    </row>
    <row r="1845" s="1" customFormat="1" customHeight="1" spans="1:6">
      <c r="A1845" s="9" t="str">
        <f>"10462106213"</f>
        <v>10462106213</v>
      </c>
      <c r="B1845" s="10">
        <v>41.15</v>
      </c>
      <c r="C1845" s="9"/>
      <c r="D1845" s="9">
        <f t="shared" si="28"/>
        <v>41.15</v>
      </c>
      <c r="E1845" s="11"/>
      <c r="F1845" s="9"/>
    </row>
    <row r="1846" s="1" customFormat="1" customHeight="1" spans="1:6">
      <c r="A1846" s="9" t="str">
        <f>"10302106214"</f>
        <v>10302106214</v>
      </c>
      <c r="B1846" s="10">
        <v>39.05</v>
      </c>
      <c r="C1846" s="9"/>
      <c r="D1846" s="9">
        <f t="shared" si="28"/>
        <v>39.05</v>
      </c>
      <c r="E1846" s="11"/>
      <c r="F1846" s="9"/>
    </row>
    <row r="1847" s="1" customFormat="1" customHeight="1" spans="1:6">
      <c r="A1847" s="9" t="str">
        <f>"10442106215"</f>
        <v>10442106215</v>
      </c>
      <c r="B1847" s="10">
        <v>58.67</v>
      </c>
      <c r="C1847" s="9"/>
      <c r="D1847" s="9">
        <f t="shared" si="28"/>
        <v>58.67</v>
      </c>
      <c r="E1847" s="11"/>
      <c r="F1847" s="9"/>
    </row>
    <row r="1848" s="1" customFormat="1" customHeight="1" spans="1:6">
      <c r="A1848" s="9" t="str">
        <f>"10212106216"</f>
        <v>10212106216</v>
      </c>
      <c r="B1848" s="10">
        <v>0</v>
      </c>
      <c r="C1848" s="9"/>
      <c r="D1848" s="9">
        <f t="shared" si="28"/>
        <v>0</v>
      </c>
      <c r="E1848" s="11"/>
      <c r="F1848" s="9" t="s">
        <v>7</v>
      </c>
    </row>
    <row r="1849" s="1" customFormat="1" customHeight="1" spans="1:6">
      <c r="A1849" s="9" t="str">
        <f>"10112106217"</f>
        <v>10112106217</v>
      </c>
      <c r="B1849" s="10">
        <v>50.18</v>
      </c>
      <c r="C1849" s="9"/>
      <c r="D1849" s="9">
        <f t="shared" si="28"/>
        <v>50.18</v>
      </c>
      <c r="E1849" s="11"/>
      <c r="F1849" s="9"/>
    </row>
    <row r="1850" s="1" customFormat="1" customHeight="1" spans="1:6">
      <c r="A1850" s="9" t="str">
        <f>"10362106218"</f>
        <v>10362106218</v>
      </c>
      <c r="B1850" s="10">
        <v>43.04</v>
      </c>
      <c r="C1850" s="9"/>
      <c r="D1850" s="9">
        <f t="shared" si="28"/>
        <v>43.04</v>
      </c>
      <c r="E1850" s="11"/>
      <c r="F1850" s="9"/>
    </row>
    <row r="1851" s="1" customFormat="1" customHeight="1" spans="1:6">
      <c r="A1851" s="9" t="str">
        <f>"10092106219"</f>
        <v>10092106219</v>
      </c>
      <c r="B1851" s="10">
        <v>0</v>
      </c>
      <c r="C1851" s="9"/>
      <c r="D1851" s="9">
        <f t="shared" si="28"/>
        <v>0</v>
      </c>
      <c r="E1851" s="11"/>
      <c r="F1851" s="9" t="s">
        <v>7</v>
      </c>
    </row>
    <row r="1852" s="1" customFormat="1" customHeight="1" spans="1:6">
      <c r="A1852" s="9" t="str">
        <f>"10282106220"</f>
        <v>10282106220</v>
      </c>
      <c r="B1852" s="10">
        <v>0</v>
      </c>
      <c r="C1852" s="9"/>
      <c r="D1852" s="9">
        <f t="shared" si="28"/>
        <v>0</v>
      </c>
      <c r="E1852" s="11"/>
      <c r="F1852" s="9" t="s">
        <v>7</v>
      </c>
    </row>
    <row r="1853" s="1" customFormat="1" customHeight="1" spans="1:6">
      <c r="A1853" s="9" t="str">
        <f>"10532106221"</f>
        <v>10532106221</v>
      </c>
      <c r="B1853" s="10">
        <v>43.28</v>
      </c>
      <c r="C1853" s="9"/>
      <c r="D1853" s="9">
        <f t="shared" si="28"/>
        <v>43.28</v>
      </c>
      <c r="E1853" s="11"/>
      <c r="F1853" s="9"/>
    </row>
    <row r="1854" s="1" customFormat="1" customHeight="1" spans="1:6">
      <c r="A1854" s="9" t="str">
        <f>"10142106222"</f>
        <v>10142106222</v>
      </c>
      <c r="B1854" s="10">
        <v>0</v>
      </c>
      <c r="C1854" s="9"/>
      <c r="D1854" s="9">
        <f t="shared" si="28"/>
        <v>0</v>
      </c>
      <c r="E1854" s="11"/>
      <c r="F1854" s="9" t="s">
        <v>7</v>
      </c>
    </row>
    <row r="1855" s="1" customFormat="1" customHeight="1" spans="1:6">
      <c r="A1855" s="9" t="str">
        <f>"10152106223"</f>
        <v>10152106223</v>
      </c>
      <c r="B1855" s="10">
        <v>52.06</v>
      </c>
      <c r="C1855" s="9"/>
      <c r="D1855" s="9">
        <f t="shared" si="28"/>
        <v>52.06</v>
      </c>
      <c r="E1855" s="11"/>
      <c r="F1855" s="9"/>
    </row>
    <row r="1856" s="1" customFormat="1" customHeight="1" spans="1:6">
      <c r="A1856" s="9" t="str">
        <f>"10482106224"</f>
        <v>10482106224</v>
      </c>
      <c r="B1856" s="10">
        <v>45.53</v>
      </c>
      <c r="C1856" s="9"/>
      <c r="D1856" s="9">
        <f t="shared" si="28"/>
        <v>45.53</v>
      </c>
      <c r="E1856" s="11"/>
      <c r="F1856" s="9"/>
    </row>
    <row r="1857" s="1" customFormat="1" customHeight="1" spans="1:6">
      <c r="A1857" s="9" t="str">
        <f>"10302106225"</f>
        <v>10302106225</v>
      </c>
      <c r="B1857" s="10">
        <v>39.9</v>
      </c>
      <c r="C1857" s="9"/>
      <c r="D1857" s="9">
        <f t="shared" si="28"/>
        <v>39.9</v>
      </c>
      <c r="E1857" s="11"/>
      <c r="F1857" s="9"/>
    </row>
    <row r="1858" s="1" customFormat="1" customHeight="1" spans="1:6">
      <c r="A1858" s="9" t="str">
        <f>"10142106226"</f>
        <v>10142106226</v>
      </c>
      <c r="B1858" s="10">
        <v>0</v>
      </c>
      <c r="C1858" s="9"/>
      <c r="D1858" s="9">
        <f t="shared" si="28"/>
        <v>0</v>
      </c>
      <c r="E1858" s="11"/>
      <c r="F1858" s="9" t="s">
        <v>7</v>
      </c>
    </row>
    <row r="1859" s="1" customFormat="1" customHeight="1" spans="1:6">
      <c r="A1859" s="9" t="str">
        <f>"10052106227"</f>
        <v>10052106227</v>
      </c>
      <c r="B1859" s="10">
        <v>45.41</v>
      </c>
      <c r="C1859" s="9"/>
      <c r="D1859" s="9">
        <f t="shared" ref="D1859:D1922" si="29">SUM(B1859:C1859)</f>
        <v>45.41</v>
      </c>
      <c r="E1859" s="11"/>
      <c r="F1859" s="9"/>
    </row>
    <row r="1860" s="1" customFormat="1" customHeight="1" spans="1:6">
      <c r="A1860" s="9" t="str">
        <f>"10302106228"</f>
        <v>10302106228</v>
      </c>
      <c r="B1860" s="10">
        <v>34.77</v>
      </c>
      <c r="C1860" s="9"/>
      <c r="D1860" s="9">
        <f t="shared" si="29"/>
        <v>34.77</v>
      </c>
      <c r="E1860" s="11"/>
      <c r="F1860" s="9"/>
    </row>
    <row r="1861" s="1" customFormat="1" customHeight="1" spans="1:6">
      <c r="A1861" s="9" t="str">
        <f>"10532106229"</f>
        <v>10532106229</v>
      </c>
      <c r="B1861" s="10">
        <v>40.56</v>
      </c>
      <c r="C1861" s="9"/>
      <c r="D1861" s="9">
        <f t="shared" si="29"/>
        <v>40.56</v>
      </c>
      <c r="E1861" s="11"/>
      <c r="F1861" s="9"/>
    </row>
    <row r="1862" s="1" customFormat="1" customHeight="1" spans="1:6">
      <c r="A1862" s="9" t="str">
        <f>"10352106230"</f>
        <v>10352106230</v>
      </c>
      <c r="B1862" s="10">
        <v>0</v>
      </c>
      <c r="C1862" s="9"/>
      <c r="D1862" s="9">
        <f t="shared" si="29"/>
        <v>0</v>
      </c>
      <c r="E1862" s="11"/>
      <c r="F1862" s="9" t="s">
        <v>7</v>
      </c>
    </row>
    <row r="1863" s="1" customFormat="1" customHeight="1" spans="1:6">
      <c r="A1863" s="9" t="str">
        <f>"10182106301"</f>
        <v>10182106301</v>
      </c>
      <c r="B1863" s="10">
        <v>0</v>
      </c>
      <c r="C1863" s="9"/>
      <c r="D1863" s="9">
        <f t="shared" si="29"/>
        <v>0</v>
      </c>
      <c r="E1863" s="11"/>
      <c r="F1863" s="9" t="s">
        <v>7</v>
      </c>
    </row>
    <row r="1864" s="1" customFormat="1" customHeight="1" spans="1:6">
      <c r="A1864" s="9" t="str">
        <f>"10022106302"</f>
        <v>10022106302</v>
      </c>
      <c r="B1864" s="10">
        <v>45.23</v>
      </c>
      <c r="C1864" s="9"/>
      <c r="D1864" s="9">
        <f t="shared" si="29"/>
        <v>45.23</v>
      </c>
      <c r="E1864" s="11"/>
      <c r="F1864" s="9"/>
    </row>
    <row r="1865" s="1" customFormat="1" customHeight="1" spans="1:6">
      <c r="A1865" s="9" t="str">
        <f>"10072106303"</f>
        <v>10072106303</v>
      </c>
      <c r="B1865" s="10">
        <v>35.92</v>
      </c>
      <c r="C1865" s="9"/>
      <c r="D1865" s="9">
        <f t="shared" si="29"/>
        <v>35.92</v>
      </c>
      <c r="E1865" s="11"/>
      <c r="F1865" s="9"/>
    </row>
    <row r="1866" s="1" customFormat="1" customHeight="1" spans="1:6">
      <c r="A1866" s="9" t="str">
        <f>"10282106304"</f>
        <v>10282106304</v>
      </c>
      <c r="B1866" s="10">
        <v>33.83</v>
      </c>
      <c r="C1866" s="9"/>
      <c r="D1866" s="9">
        <f t="shared" si="29"/>
        <v>33.83</v>
      </c>
      <c r="E1866" s="11"/>
      <c r="F1866" s="9"/>
    </row>
    <row r="1867" s="1" customFormat="1" customHeight="1" spans="1:6">
      <c r="A1867" s="9" t="str">
        <f>"10532106305"</f>
        <v>10532106305</v>
      </c>
      <c r="B1867" s="10">
        <v>44.54</v>
      </c>
      <c r="C1867" s="9"/>
      <c r="D1867" s="9">
        <f t="shared" si="29"/>
        <v>44.54</v>
      </c>
      <c r="E1867" s="11"/>
      <c r="F1867" s="9"/>
    </row>
    <row r="1868" s="1" customFormat="1" customHeight="1" spans="1:6">
      <c r="A1868" s="9" t="str">
        <f>"10362106306"</f>
        <v>10362106306</v>
      </c>
      <c r="B1868" s="10">
        <v>41.02</v>
      </c>
      <c r="C1868" s="9"/>
      <c r="D1868" s="9">
        <f t="shared" si="29"/>
        <v>41.02</v>
      </c>
      <c r="E1868" s="11"/>
      <c r="F1868" s="9"/>
    </row>
    <row r="1869" s="1" customFormat="1" customHeight="1" spans="1:6">
      <c r="A1869" s="9" t="str">
        <f>"10362106307"</f>
        <v>10362106307</v>
      </c>
      <c r="B1869" s="10">
        <v>0</v>
      </c>
      <c r="C1869" s="9"/>
      <c r="D1869" s="9">
        <f t="shared" si="29"/>
        <v>0</v>
      </c>
      <c r="E1869" s="11"/>
      <c r="F1869" s="9" t="s">
        <v>7</v>
      </c>
    </row>
    <row r="1870" s="1" customFormat="1" customHeight="1" spans="1:6">
      <c r="A1870" s="9" t="str">
        <f>"10382106308"</f>
        <v>10382106308</v>
      </c>
      <c r="B1870" s="10">
        <v>37.34</v>
      </c>
      <c r="C1870" s="9"/>
      <c r="D1870" s="9">
        <f t="shared" si="29"/>
        <v>37.34</v>
      </c>
      <c r="E1870" s="11"/>
      <c r="F1870" s="9"/>
    </row>
    <row r="1871" s="1" customFormat="1" customHeight="1" spans="1:6">
      <c r="A1871" s="9" t="str">
        <f>"10362106309"</f>
        <v>10362106309</v>
      </c>
      <c r="B1871" s="10">
        <v>47.5</v>
      </c>
      <c r="C1871" s="9"/>
      <c r="D1871" s="9">
        <f t="shared" si="29"/>
        <v>47.5</v>
      </c>
      <c r="E1871" s="11"/>
      <c r="F1871" s="9"/>
    </row>
    <row r="1872" s="1" customFormat="1" customHeight="1" spans="1:6">
      <c r="A1872" s="9" t="str">
        <f>"10362106310"</f>
        <v>10362106310</v>
      </c>
      <c r="B1872" s="10">
        <v>32.55</v>
      </c>
      <c r="C1872" s="9"/>
      <c r="D1872" s="9">
        <f t="shared" si="29"/>
        <v>32.55</v>
      </c>
      <c r="E1872" s="11"/>
      <c r="F1872" s="9"/>
    </row>
    <row r="1873" s="1" customFormat="1" customHeight="1" spans="1:6">
      <c r="A1873" s="9" t="str">
        <f>"10062106311"</f>
        <v>10062106311</v>
      </c>
      <c r="B1873" s="10">
        <v>42.22</v>
      </c>
      <c r="C1873" s="9"/>
      <c r="D1873" s="9">
        <f t="shared" si="29"/>
        <v>42.22</v>
      </c>
      <c r="E1873" s="11"/>
      <c r="F1873" s="9"/>
    </row>
    <row r="1874" s="1" customFormat="1" customHeight="1" spans="1:6">
      <c r="A1874" s="9" t="str">
        <f>"10362106312"</f>
        <v>10362106312</v>
      </c>
      <c r="B1874" s="10">
        <v>23.66</v>
      </c>
      <c r="C1874" s="9"/>
      <c r="D1874" s="9">
        <f t="shared" si="29"/>
        <v>23.66</v>
      </c>
      <c r="E1874" s="11"/>
      <c r="F1874" s="9"/>
    </row>
    <row r="1875" s="1" customFormat="1" customHeight="1" spans="1:6">
      <c r="A1875" s="9" t="str">
        <f>"10332106313"</f>
        <v>10332106313</v>
      </c>
      <c r="B1875" s="10">
        <v>36.01</v>
      </c>
      <c r="C1875" s="9"/>
      <c r="D1875" s="9">
        <f t="shared" si="29"/>
        <v>36.01</v>
      </c>
      <c r="E1875" s="11"/>
      <c r="F1875" s="9"/>
    </row>
    <row r="1876" s="1" customFormat="1" customHeight="1" spans="1:6">
      <c r="A1876" s="9" t="str">
        <f>"10362106314"</f>
        <v>10362106314</v>
      </c>
      <c r="B1876" s="10">
        <v>30.1</v>
      </c>
      <c r="C1876" s="9"/>
      <c r="D1876" s="9">
        <f t="shared" si="29"/>
        <v>30.1</v>
      </c>
      <c r="E1876" s="11"/>
      <c r="F1876" s="9"/>
    </row>
    <row r="1877" s="1" customFormat="1" customHeight="1" spans="1:6">
      <c r="A1877" s="9" t="str">
        <f>"10362106315"</f>
        <v>10362106315</v>
      </c>
      <c r="B1877" s="10">
        <v>0</v>
      </c>
      <c r="C1877" s="9"/>
      <c r="D1877" s="9">
        <f t="shared" si="29"/>
        <v>0</v>
      </c>
      <c r="E1877" s="11"/>
      <c r="F1877" s="9" t="s">
        <v>7</v>
      </c>
    </row>
    <row r="1878" s="1" customFormat="1" customHeight="1" spans="1:6">
      <c r="A1878" s="9" t="str">
        <f>"10232106316"</f>
        <v>10232106316</v>
      </c>
      <c r="B1878" s="10">
        <v>39.79</v>
      </c>
      <c r="C1878" s="9"/>
      <c r="D1878" s="9">
        <f t="shared" si="29"/>
        <v>39.79</v>
      </c>
      <c r="E1878" s="11"/>
      <c r="F1878" s="9"/>
    </row>
    <row r="1879" s="1" customFormat="1" customHeight="1" spans="1:6">
      <c r="A1879" s="9" t="str">
        <f>"10362106317"</f>
        <v>10362106317</v>
      </c>
      <c r="B1879" s="10">
        <v>47.76</v>
      </c>
      <c r="C1879" s="9"/>
      <c r="D1879" s="9">
        <f t="shared" si="29"/>
        <v>47.76</v>
      </c>
      <c r="E1879" s="11"/>
      <c r="F1879" s="9"/>
    </row>
    <row r="1880" s="1" customFormat="1" customHeight="1" spans="1:6">
      <c r="A1880" s="9" t="str">
        <f>"10362106318"</f>
        <v>10362106318</v>
      </c>
      <c r="B1880" s="10">
        <v>29.84</v>
      </c>
      <c r="C1880" s="9"/>
      <c r="D1880" s="9">
        <f t="shared" si="29"/>
        <v>29.84</v>
      </c>
      <c r="E1880" s="11"/>
      <c r="F1880" s="9"/>
    </row>
    <row r="1881" s="1" customFormat="1" customHeight="1" spans="1:6">
      <c r="A1881" s="9" t="str">
        <f>"10502106319"</f>
        <v>10502106319</v>
      </c>
      <c r="B1881" s="10">
        <v>0</v>
      </c>
      <c r="C1881" s="9"/>
      <c r="D1881" s="9">
        <f t="shared" si="29"/>
        <v>0</v>
      </c>
      <c r="E1881" s="11"/>
      <c r="F1881" s="9" t="s">
        <v>7</v>
      </c>
    </row>
    <row r="1882" s="1" customFormat="1" customHeight="1" spans="1:6">
      <c r="A1882" s="9" t="str">
        <f>"10442106320"</f>
        <v>10442106320</v>
      </c>
      <c r="B1882" s="10">
        <v>34.75</v>
      </c>
      <c r="C1882" s="9"/>
      <c r="D1882" s="9">
        <f t="shared" si="29"/>
        <v>34.75</v>
      </c>
      <c r="E1882" s="11"/>
      <c r="F1882" s="9"/>
    </row>
    <row r="1883" s="1" customFormat="1" customHeight="1" spans="1:6">
      <c r="A1883" s="9" t="str">
        <f>"10212106321"</f>
        <v>10212106321</v>
      </c>
      <c r="B1883" s="10">
        <v>38.19</v>
      </c>
      <c r="C1883" s="9"/>
      <c r="D1883" s="9">
        <f t="shared" si="29"/>
        <v>38.19</v>
      </c>
      <c r="E1883" s="11"/>
      <c r="F1883" s="9"/>
    </row>
    <row r="1884" s="1" customFormat="1" customHeight="1" spans="1:6">
      <c r="A1884" s="9" t="str">
        <f>"10142106322"</f>
        <v>10142106322</v>
      </c>
      <c r="B1884" s="10">
        <v>42.42</v>
      </c>
      <c r="C1884" s="9"/>
      <c r="D1884" s="9">
        <f t="shared" si="29"/>
        <v>42.42</v>
      </c>
      <c r="E1884" s="11"/>
      <c r="F1884" s="9"/>
    </row>
    <row r="1885" s="1" customFormat="1" customHeight="1" spans="1:6">
      <c r="A1885" s="9" t="str">
        <f>"10062106323"</f>
        <v>10062106323</v>
      </c>
      <c r="B1885" s="10">
        <v>43.84</v>
      </c>
      <c r="C1885" s="9"/>
      <c r="D1885" s="9">
        <f t="shared" si="29"/>
        <v>43.84</v>
      </c>
      <c r="E1885" s="11"/>
      <c r="F1885" s="9"/>
    </row>
    <row r="1886" s="1" customFormat="1" customHeight="1" spans="1:6">
      <c r="A1886" s="9" t="str">
        <f>"10142106324"</f>
        <v>10142106324</v>
      </c>
      <c r="B1886" s="10">
        <v>45.14</v>
      </c>
      <c r="C1886" s="9"/>
      <c r="D1886" s="9">
        <f t="shared" si="29"/>
        <v>45.14</v>
      </c>
      <c r="E1886" s="11"/>
      <c r="F1886" s="9"/>
    </row>
    <row r="1887" s="1" customFormat="1" customHeight="1" spans="1:6">
      <c r="A1887" s="9" t="str">
        <f>"10522106325"</f>
        <v>10522106325</v>
      </c>
      <c r="B1887" s="10">
        <v>0</v>
      </c>
      <c r="C1887" s="9"/>
      <c r="D1887" s="9">
        <f t="shared" si="29"/>
        <v>0</v>
      </c>
      <c r="E1887" s="11"/>
      <c r="F1887" s="9" t="s">
        <v>7</v>
      </c>
    </row>
    <row r="1888" s="1" customFormat="1" customHeight="1" spans="1:6">
      <c r="A1888" s="9" t="str">
        <f>"10452106326"</f>
        <v>10452106326</v>
      </c>
      <c r="B1888" s="10">
        <v>34</v>
      </c>
      <c r="C1888" s="9"/>
      <c r="D1888" s="9">
        <f t="shared" si="29"/>
        <v>34</v>
      </c>
      <c r="E1888" s="11"/>
      <c r="F1888" s="9"/>
    </row>
    <row r="1889" s="1" customFormat="1" customHeight="1" spans="1:6">
      <c r="A1889" s="9" t="str">
        <f>"10362106327"</f>
        <v>10362106327</v>
      </c>
      <c r="B1889" s="10">
        <v>0</v>
      </c>
      <c r="C1889" s="9"/>
      <c r="D1889" s="9">
        <f t="shared" si="29"/>
        <v>0</v>
      </c>
      <c r="E1889" s="11"/>
      <c r="F1889" s="9" t="s">
        <v>7</v>
      </c>
    </row>
    <row r="1890" s="1" customFormat="1" customHeight="1" spans="1:6">
      <c r="A1890" s="9" t="str">
        <f>"10082106328"</f>
        <v>10082106328</v>
      </c>
      <c r="B1890" s="10">
        <v>39.81</v>
      </c>
      <c r="C1890" s="9"/>
      <c r="D1890" s="9">
        <f t="shared" si="29"/>
        <v>39.81</v>
      </c>
      <c r="E1890" s="11"/>
      <c r="F1890" s="9"/>
    </row>
    <row r="1891" s="1" customFormat="1" customHeight="1" spans="1:6">
      <c r="A1891" s="9" t="str">
        <f>"10172106329"</f>
        <v>10172106329</v>
      </c>
      <c r="B1891" s="10">
        <v>0</v>
      </c>
      <c r="C1891" s="9"/>
      <c r="D1891" s="9">
        <f t="shared" si="29"/>
        <v>0</v>
      </c>
      <c r="E1891" s="11"/>
      <c r="F1891" s="9" t="s">
        <v>7</v>
      </c>
    </row>
    <row r="1892" s="1" customFormat="1" customHeight="1" spans="1:6">
      <c r="A1892" s="9" t="str">
        <f>"10102106330"</f>
        <v>10102106330</v>
      </c>
      <c r="B1892" s="10">
        <v>16.36</v>
      </c>
      <c r="C1892" s="9"/>
      <c r="D1892" s="9">
        <f t="shared" si="29"/>
        <v>16.36</v>
      </c>
      <c r="E1892" s="11"/>
      <c r="F1892" s="9"/>
    </row>
    <row r="1893" s="1" customFormat="1" customHeight="1" spans="1:6">
      <c r="A1893" s="9" t="str">
        <f>"10362106401"</f>
        <v>10362106401</v>
      </c>
      <c r="B1893" s="10">
        <v>0</v>
      </c>
      <c r="C1893" s="9"/>
      <c r="D1893" s="9">
        <f t="shared" si="29"/>
        <v>0</v>
      </c>
      <c r="E1893" s="11"/>
      <c r="F1893" s="9" t="s">
        <v>7</v>
      </c>
    </row>
    <row r="1894" s="1" customFormat="1" customHeight="1" spans="1:6">
      <c r="A1894" s="9" t="str">
        <f>"10212106402"</f>
        <v>10212106402</v>
      </c>
      <c r="B1894" s="10">
        <v>51.33</v>
      </c>
      <c r="C1894" s="9"/>
      <c r="D1894" s="9">
        <f t="shared" si="29"/>
        <v>51.33</v>
      </c>
      <c r="E1894" s="11"/>
      <c r="F1894" s="9"/>
    </row>
    <row r="1895" s="1" customFormat="1" customHeight="1" spans="1:6">
      <c r="A1895" s="9" t="str">
        <f>"10292106403"</f>
        <v>10292106403</v>
      </c>
      <c r="B1895" s="10">
        <v>45.91</v>
      </c>
      <c r="C1895" s="9"/>
      <c r="D1895" s="9">
        <f t="shared" si="29"/>
        <v>45.91</v>
      </c>
      <c r="E1895" s="11"/>
      <c r="F1895" s="9"/>
    </row>
    <row r="1896" s="1" customFormat="1" customHeight="1" spans="1:6">
      <c r="A1896" s="9" t="str">
        <f>"10402106404"</f>
        <v>10402106404</v>
      </c>
      <c r="B1896" s="10">
        <v>25.31</v>
      </c>
      <c r="C1896" s="9"/>
      <c r="D1896" s="9">
        <f t="shared" si="29"/>
        <v>25.31</v>
      </c>
      <c r="E1896" s="11"/>
      <c r="F1896" s="9"/>
    </row>
    <row r="1897" s="1" customFormat="1" customHeight="1" spans="1:6">
      <c r="A1897" s="9" t="str">
        <f>"10362106405"</f>
        <v>10362106405</v>
      </c>
      <c r="B1897" s="10">
        <v>40.46</v>
      </c>
      <c r="C1897" s="9"/>
      <c r="D1897" s="9">
        <f t="shared" si="29"/>
        <v>40.46</v>
      </c>
      <c r="E1897" s="11"/>
      <c r="F1897" s="9"/>
    </row>
    <row r="1898" s="1" customFormat="1" customHeight="1" spans="1:6">
      <c r="A1898" s="9" t="str">
        <f>"10362106406"</f>
        <v>10362106406</v>
      </c>
      <c r="B1898" s="10">
        <v>0</v>
      </c>
      <c r="C1898" s="9"/>
      <c r="D1898" s="9">
        <f t="shared" si="29"/>
        <v>0</v>
      </c>
      <c r="E1898" s="11"/>
      <c r="F1898" s="9" t="s">
        <v>7</v>
      </c>
    </row>
    <row r="1899" s="1" customFormat="1" customHeight="1" spans="1:6">
      <c r="A1899" s="9" t="str">
        <f>"10352106407"</f>
        <v>10352106407</v>
      </c>
      <c r="B1899" s="10">
        <v>0</v>
      </c>
      <c r="C1899" s="9"/>
      <c r="D1899" s="9">
        <f t="shared" si="29"/>
        <v>0</v>
      </c>
      <c r="E1899" s="11"/>
      <c r="F1899" s="9" t="s">
        <v>7</v>
      </c>
    </row>
    <row r="1900" s="1" customFormat="1" customHeight="1" spans="1:6">
      <c r="A1900" s="9" t="str">
        <f>"10212106408"</f>
        <v>10212106408</v>
      </c>
      <c r="B1900" s="10">
        <v>33.79</v>
      </c>
      <c r="C1900" s="9"/>
      <c r="D1900" s="9">
        <f t="shared" si="29"/>
        <v>33.79</v>
      </c>
      <c r="E1900" s="11"/>
      <c r="F1900" s="9"/>
    </row>
    <row r="1901" s="1" customFormat="1" customHeight="1" spans="1:6">
      <c r="A1901" s="9" t="str">
        <f>"10362106409"</f>
        <v>10362106409</v>
      </c>
      <c r="B1901" s="10">
        <v>0</v>
      </c>
      <c r="C1901" s="9"/>
      <c r="D1901" s="9">
        <f t="shared" si="29"/>
        <v>0</v>
      </c>
      <c r="E1901" s="11"/>
      <c r="F1901" s="9" t="s">
        <v>7</v>
      </c>
    </row>
    <row r="1902" s="1" customFormat="1" customHeight="1" spans="1:6">
      <c r="A1902" s="9" t="str">
        <f>"10522106410"</f>
        <v>10522106410</v>
      </c>
      <c r="B1902" s="10">
        <v>30.94</v>
      </c>
      <c r="C1902" s="9">
        <v>10</v>
      </c>
      <c r="D1902" s="9">
        <f t="shared" si="29"/>
        <v>40.94</v>
      </c>
      <c r="E1902" s="12" t="s">
        <v>8</v>
      </c>
      <c r="F1902" s="9"/>
    </row>
    <row r="1903" s="1" customFormat="1" customHeight="1" spans="1:6">
      <c r="A1903" s="9" t="str">
        <f>"10532106411"</f>
        <v>10532106411</v>
      </c>
      <c r="B1903" s="10">
        <v>36.45</v>
      </c>
      <c r="C1903" s="9"/>
      <c r="D1903" s="9">
        <f t="shared" si="29"/>
        <v>36.45</v>
      </c>
      <c r="E1903" s="11"/>
      <c r="F1903" s="9"/>
    </row>
    <row r="1904" s="1" customFormat="1" customHeight="1" spans="1:6">
      <c r="A1904" s="9" t="str">
        <f>"10332106412"</f>
        <v>10332106412</v>
      </c>
      <c r="B1904" s="10">
        <v>0</v>
      </c>
      <c r="C1904" s="9"/>
      <c r="D1904" s="9">
        <f t="shared" si="29"/>
        <v>0</v>
      </c>
      <c r="E1904" s="11"/>
      <c r="F1904" s="9" t="s">
        <v>7</v>
      </c>
    </row>
    <row r="1905" s="1" customFormat="1" customHeight="1" spans="1:6">
      <c r="A1905" s="9" t="str">
        <f>"10292106413"</f>
        <v>10292106413</v>
      </c>
      <c r="B1905" s="10">
        <v>52.57</v>
      </c>
      <c r="C1905" s="9"/>
      <c r="D1905" s="9">
        <f t="shared" si="29"/>
        <v>52.57</v>
      </c>
      <c r="E1905" s="11"/>
      <c r="F1905" s="9"/>
    </row>
    <row r="1906" s="1" customFormat="1" customHeight="1" spans="1:6">
      <c r="A1906" s="9" t="str">
        <f>"10232106414"</f>
        <v>10232106414</v>
      </c>
      <c r="B1906" s="10">
        <v>38.95</v>
      </c>
      <c r="C1906" s="9"/>
      <c r="D1906" s="9">
        <f t="shared" si="29"/>
        <v>38.95</v>
      </c>
      <c r="E1906" s="11"/>
      <c r="F1906" s="9"/>
    </row>
    <row r="1907" s="1" customFormat="1" customHeight="1" spans="1:6">
      <c r="A1907" s="9" t="str">
        <f>"10532106415"</f>
        <v>10532106415</v>
      </c>
      <c r="B1907" s="10">
        <v>36.8</v>
      </c>
      <c r="C1907" s="9"/>
      <c r="D1907" s="9">
        <f t="shared" si="29"/>
        <v>36.8</v>
      </c>
      <c r="E1907" s="11"/>
      <c r="F1907" s="9"/>
    </row>
    <row r="1908" s="1" customFormat="1" customHeight="1" spans="1:6">
      <c r="A1908" s="9" t="str">
        <f>"10362106416"</f>
        <v>10362106416</v>
      </c>
      <c r="B1908" s="10">
        <v>0</v>
      </c>
      <c r="C1908" s="9"/>
      <c r="D1908" s="9">
        <f t="shared" si="29"/>
        <v>0</v>
      </c>
      <c r="E1908" s="11"/>
      <c r="F1908" s="9" t="s">
        <v>7</v>
      </c>
    </row>
    <row r="1909" s="1" customFormat="1" customHeight="1" spans="1:6">
      <c r="A1909" s="9" t="str">
        <f>"10332106417"</f>
        <v>10332106417</v>
      </c>
      <c r="B1909" s="10">
        <v>38.21</v>
      </c>
      <c r="C1909" s="9"/>
      <c r="D1909" s="9">
        <f t="shared" si="29"/>
        <v>38.21</v>
      </c>
      <c r="E1909" s="11"/>
      <c r="F1909" s="9"/>
    </row>
    <row r="1910" s="1" customFormat="1" customHeight="1" spans="1:6">
      <c r="A1910" s="9" t="str">
        <f>"10362106418"</f>
        <v>10362106418</v>
      </c>
      <c r="B1910" s="10">
        <v>43.45</v>
      </c>
      <c r="C1910" s="9"/>
      <c r="D1910" s="9">
        <f t="shared" si="29"/>
        <v>43.45</v>
      </c>
      <c r="E1910" s="11"/>
      <c r="F1910" s="9"/>
    </row>
    <row r="1911" s="1" customFormat="1" customHeight="1" spans="1:6">
      <c r="A1911" s="9" t="str">
        <f>"10212106419"</f>
        <v>10212106419</v>
      </c>
      <c r="B1911" s="10">
        <v>50.49</v>
      </c>
      <c r="C1911" s="9"/>
      <c r="D1911" s="9">
        <f t="shared" si="29"/>
        <v>50.49</v>
      </c>
      <c r="E1911" s="11"/>
      <c r="F1911" s="9"/>
    </row>
    <row r="1912" s="1" customFormat="1" customHeight="1" spans="1:6">
      <c r="A1912" s="9" t="str">
        <f>"10362106420"</f>
        <v>10362106420</v>
      </c>
      <c r="B1912" s="10">
        <v>0</v>
      </c>
      <c r="C1912" s="9"/>
      <c r="D1912" s="9">
        <f t="shared" si="29"/>
        <v>0</v>
      </c>
      <c r="E1912" s="11"/>
      <c r="F1912" s="9" t="s">
        <v>7</v>
      </c>
    </row>
    <row r="1913" s="1" customFormat="1" customHeight="1" spans="1:6">
      <c r="A1913" s="9" t="str">
        <f>"10212106421"</f>
        <v>10212106421</v>
      </c>
      <c r="B1913" s="10">
        <v>48.57</v>
      </c>
      <c r="C1913" s="9"/>
      <c r="D1913" s="9">
        <f t="shared" si="29"/>
        <v>48.57</v>
      </c>
      <c r="E1913" s="11"/>
      <c r="F1913" s="9"/>
    </row>
    <row r="1914" s="1" customFormat="1" customHeight="1" spans="1:6">
      <c r="A1914" s="9" t="str">
        <f>"10062106422"</f>
        <v>10062106422</v>
      </c>
      <c r="B1914" s="10">
        <v>0</v>
      </c>
      <c r="C1914" s="9"/>
      <c r="D1914" s="9">
        <f t="shared" si="29"/>
        <v>0</v>
      </c>
      <c r="E1914" s="11"/>
      <c r="F1914" s="9" t="s">
        <v>7</v>
      </c>
    </row>
    <row r="1915" s="1" customFormat="1" customHeight="1" spans="1:6">
      <c r="A1915" s="9" t="str">
        <f>"10362106423"</f>
        <v>10362106423</v>
      </c>
      <c r="B1915" s="10">
        <v>40.37</v>
      </c>
      <c r="C1915" s="9"/>
      <c r="D1915" s="9">
        <f t="shared" si="29"/>
        <v>40.37</v>
      </c>
      <c r="E1915" s="11"/>
      <c r="F1915" s="9"/>
    </row>
    <row r="1916" s="1" customFormat="1" customHeight="1" spans="1:6">
      <c r="A1916" s="9" t="str">
        <f>"10432106424"</f>
        <v>10432106424</v>
      </c>
      <c r="B1916" s="10">
        <v>39.85</v>
      </c>
      <c r="C1916" s="9"/>
      <c r="D1916" s="9">
        <f t="shared" si="29"/>
        <v>39.85</v>
      </c>
      <c r="E1916" s="11"/>
      <c r="F1916" s="9"/>
    </row>
    <row r="1917" s="1" customFormat="1" customHeight="1" spans="1:6">
      <c r="A1917" s="9" t="str">
        <f>"10062106425"</f>
        <v>10062106425</v>
      </c>
      <c r="B1917" s="10">
        <v>41.6</v>
      </c>
      <c r="C1917" s="9"/>
      <c r="D1917" s="9">
        <f t="shared" si="29"/>
        <v>41.6</v>
      </c>
      <c r="E1917" s="11"/>
      <c r="F1917" s="9"/>
    </row>
    <row r="1918" s="1" customFormat="1" customHeight="1" spans="1:6">
      <c r="A1918" s="9" t="str">
        <f>"20272106426"</f>
        <v>20272106426</v>
      </c>
      <c r="B1918" s="10">
        <v>33.66</v>
      </c>
      <c r="C1918" s="9"/>
      <c r="D1918" s="9">
        <f t="shared" si="29"/>
        <v>33.66</v>
      </c>
      <c r="E1918" s="11"/>
      <c r="F1918" s="9"/>
    </row>
    <row r="1919" s="1" customFormat="1" customHeight="1" spans="1:6">
      <c r="A1919" s="9" t="str">
        <f>"10172106427"</f>
        <v>10172106427</v>
      </c>
      <c r="B1919" s="10">
        <v>0</v>
      </c>
      <c r="C1919" s="9"/>
      <c r="D1919" s="9">
        <f t="shared" si="29"/>
        <v>0</v>
      </c>
      <c r="E1919" s="11"/>
      <c r="F1919" s="9" t="s">
        <v>7</v>
      </c>
    </row>
    <row r="1920" s="1" customFormat="1" customHeight="1" spans="1:6">
      <c r="A1920" s="9" t="str">
        <f>"10142106428"</f>
        <v>10142106428</v>
      </c>
      <c r="B1920" s="10">
        <v>0</v>
      </c>
      <c r="C1920" s="9"/>
      <c r="D1920" s="9">
        <f t="shared" si="29"/>
        <v>0</v>
      </c>
      <c r="E1920" s="11"/>
      <c r="F1920" s="9" t="s">
        <v>7</v>
      </c>
    </row>
    <row r="1921" s="1" customFormat="1" customHeight="1" spans="1:6">
      <c r="A1921" s="9" t="str">
        <f>"10112106429"</f>
        <v>10112106429</v>
      </c>
      <c r="B1921" s="10">
        <v>51.92</v>
      </c>
      <c r="C1921" s="9"/>
      <c r="D1921" s="9">
        <f t="shared" si="29"/>
        <v>51.92</v>
      </c>
      <c r="E1921" s="11"/>
      <c r="F1921" s="9"/>
    </row>
    <row r="1922" s="1" customFormat="1" customHeight="1" spans="1:6">
      <c r="A1922" s="9" t="str">
        <f>"10232106430"</f>
        <v>10232106430</v>
      </c>
      <c r="B1922" s="10">
        <v>44.08</v>
      </c>
      <c r="C1922" s="9"/>
      <c r="D1922" s="9">
        <f t="shared" si="29"/>
        <v>44.08</v>
      </c>
      <c r="E1922" s="11"/>
      <c r="F1922" s="9"/>
    </row>
    <row r="1923" s="1" customFormat="1" customHeight="1" spans="1:6">
      <c r="A1923" s="9" t="str">
        <f>"10362106501"</f>
        <v>10362106501</v>
      </c>
      <c r="B1923" s="10">
        <v>0</v>
      </c>
      <c r="C1923" s="9"/>
      <c r="D1923" s="9">
        <f t="shared" ref="D1923:D1986" si="30">SUM(B1923:C1923)</f>
        <v>0</v>
      </c>
      <c r="E1923" s="11"/>
      <c r="F1923" s="9" t="s">
        <v>7</v>
      </c>
    </row>
    <row r="1924" s="1" customFormat="1" customHeight="1" spans="1:6">
      <c r="A1924" s="9" t="str">
        <f>"10362106502"</f>
        <v>10362106502</v>
      </c>
      <c r="B1924" s="10">
        <v>0</v>
      </c>
      <c r="C1924" s="9"/>
      <c r="D1924" s="9">
        <f t="shared" si="30"/>
        <v>0</v>
      </c>
      <c r="E1924" s="11"/>
      <c r="F1924" s="9" t="s">
        <v>7</v>
      </c>
    </row>
    <row r="1925" s="1" customFormat="1" customHeight="1" spans="1:6">
      <c r="A1925" s="9" t="str">
        <f>"10292106503"</f>
        <v>10292106503</v>
      </c>
      <c r="B1925" s="10">
        <v>46.91</v>
      </c>
      <c r="C1925" s="9"/>
      <c r="D1925" s="9">
        <f t="shared" si="30"/>
        <v>46.91</v>
      </c>
      <c r="E1925" s="11"/>
      <c r="F1925" s="9"/>
    </row>
    <row r="1926" s="1" customFormat="1" customHeight="1" spans="1:6">
      <c r="A1926" s="9" t="str">
        <f>"10362106504"</f>
        <v>10362106504</v>
      </c>
      <c r="B1926" s="10">
        <v>42.9</v>
      </c>
      <c r="C1926" s="9"/>
      <c r="D1926" s="9">
        <f t="shared" si="30"/>
        <v>42.9</v>
      </c>
      <c r="E1926" s="11"/>
      <c r="F1926" s="9"/>
    </row>
    <row r="1927" s="1" customFormat="1" customHeight="1" spans="1:6">
      <c r="A1927" s="9" t="str">
        <f>"10012106505"</f>
        <v>10012106505</v>
      </c>
      <c r="B1927" s="10">
        <v>40.1</v>
      </c>
      <c r="C1927" s="9"/>
      <c r="D1927" s="9">
        <f t="shared" si="30"/>
        <v>40.1</v>
      </c>
      <c r="E1927" s="11"/>
      <c r="F1927" s="9"/>
    </row>
    <row r="1928" s="1" customFormat="1" customHeight="1" spans="1:6">
      <c r="A1928" s="9" t="str">
        <f>"10372106506"</f>
        <v>10372106506</v>
      </c>
      <c r="B1928" s="10">
        <v>43.38</v>
      </c>
      <c r="C1928" s="9"/>
      <c r="D1928" s="9">
        <f t="shared" si="30"/>
        <v>43.38</v>
      </c>
      <c r="E1928" s="11"/>
      <c r="F1928" s="9"/>
    </row>
    <row r="1929" s="1" customFormat="1" customHeight="1" spans="1:6">
      <c r="A1929" s="9" t="str">
        <f>"10332106507"</f>
        <v>10332106507</v>
      </c>
      <c r="B1929" s="10">
        <v>48.31</v>
      </c>
      <c r="C1929" s="9"/>
      <c r="D1929" s="9">
        <f t="shared" si="30"/>
        <v>48.31</v>
      </c>
      <c r="E1929" s="11"/>
      <c r="F1929" s="9"/>
    </row>
    <row r="1930" s="1" customFormat="1" customHeight="1" spans="1:6">
      <c r="A1930" s="9" t="str">
        <f>"10242106508"</f>
        <v>10242106508</v>
      </c>
      <c r="B1930" s="10">
        <v>42.98</v>
      </c>
      <c r="C1930" s="9"/>
      <c r="D1930" s="9">
        <f t="shared" si="30"/>
        <v>42.98</v>
      </c>
      <c r="E1930" s="11"/>
      <c r="F1930" s="9"/>
    </row>
    <row r="1931" s="1" customFormat="1" customHeight="1" spans="1:6">
      <c r="A1931" s="9" t="str">
        <f>"10302106509"</f>
        <v>10302106509</v>
      </c>
      <c r="B1931" s="10">
        <v>0</v>
      </c>
      <c r="C1931" s="9">
        <v>10</v>
      </c>
      <c r="D1931" s="9">
        <f t="shared" si="30"/>
        <v>10</v>
      </c>
      <c r="E1931" s="12" t="s">
        <v>8</v>
      </c>
      <c r="F1931" s="9" t="s">
        <v>7</v>
      </c>
    </row>
    <row r="1932" s="1" customFormat="1" customHeight="1" spans="1:6">
      <c r="A1932" s="9" t="str">
        <f>"10302106510"</f>
        <v>10302106510</v>
      </c>
      <c r="B1932" s="10">
        <v>0</v>
      </c>
      <c r="C1932" s="9"/>
      <c r="D1932" s="9">
        <f t="shared" si="30"/>
        <v>0</v>
      </c>
      <c r="E1932" s="11"/>
      <c r="F1932" s="9" t="s">
        <v>7</v>
      </c>
    </row>
    <row r="1933" s="1" customFormat="1" customHeight="1" spans="1:6">
      <c r="A1933" s="9" t="str">
        <f>"10092106511"</f>
        <v>10092106511</v>
      </c>
      <c r="B1933" s="10">
        <v>49.38</v>
      </c>
      <c r="C1933" s="9"/>
      <c r="D1933" s="9">
        <f t="shared" si="30"/>
        <v>49.38</v>
      </c>
      <c r="E1933" s="11"/>
      <c r="F1933" s="9"/>
    </row>
    <row r="1934" s="1" customFormat="1" customHeight="1" spans="1:6">
      <c r="A1934" s="9" t="str">
        <f>"10012106512"</f>
        <v>10012106512</v>
      </c>
      <c r="B1934" s="10">
        <v>50.56</v>
      </c>
      <c r="C1934" s="9"/>
      <c r="D1934" s="9">
        <f t="shared" si="30"/>
        <v>50.56</v>
      </c>
      <c r="E1934" s="11"/>
      <c r="F1934" s="9"/>
    </row>
    <row r="1935" s="1" customFormat="1" customHeight="1" spans="1:6">
      <c r="A1935" s="9" t="str">
        <f>"10502106513"</f>
        <v>10502106513</v>
      </c>
      <c r="B1935" s="10">
        <v>35.39</v>
      </c>
      <c r="C1935" s="9"/>
      <c r="D1935" s="9">
        <f t="shared" si="30"/>
        <v>35.39</v>
      </c>
      <c r="E1935" s="11"/>
      <c r="F1935" s="9"/>
    </row>
    <row r="1936" s="1" customFormat="1" customHeight="1" spans="1:6">
      <c r="A1936" s="9" t="str">
        <f>"10502106514"</f>
        <v>10502106514</v>
      </c>
      <c r="B1936" s="10">
        <v>33.76</v>
      </c>
      <c r="C1936" s="9"/>
      <c r="D1936" s="9">
        <f t="shared" si="30"/>
        <v>33.76</v>
      </c>
      <c r="E1936" s="11"/>
      <c r="F1936" s="9"/>
    </row>
    <row r="1937" s="1" customFormat="1" customHeight="1" spans="1:6">
      <c r="A1937" s="9" t="str">
        <f>"10172106515"</f>
        <v>10172106515</v>
      </c>
      <c r="B1937" s="10">
        <v>41.8</v>
      </c>
      <c r="C1937" s="9"/>
      <c r="D1937" s="9">
        <f t="shared" si="30"/>
        <v>41.8</v>
      </c>
      <c r="E1937" s="11"/>
      <c r="F1937" s="9"/>
    </row>
    <row r="1938" s="1" customFormat="1" customHeight="1" spans="1:6">
      <c r="A1938" s="9" t="str">
        <f>"10362106516"</f>
        <v>10362106516</v>
      </c>
      <c r="B1938" s="10">
        <v>48.43</v>
      </c>
      <c r="C1938" s="9"/>
      <c r="D1938" s="9">
        <f t="shared" si="30"/>
        <v>48.43</v>
      </c>
      <c r="E1938" s="11"/>
      <c r="F1938" s="9"/>
    </row>
    <row r="1939" s="1" customFormat="1" customHeight="1" spans="1:6">
      <c r="A1939" s="9" t="str">
        <f>"10082106517"</f>
        <v>10082106517</v>
      </c>
      <c r="B1939" s="10">
        <v>44.31</v>
      </c>
      <c r="C1939" s="9"/>
      <c r="D1939" s="9">
        <f t="shared" si="30"/>
        <v>44.31</v>
      </c>
      <c r="E1939" s="11"/>
      <c r="F1939" s="9"/>
    </row>
    <row r="1940" s="1" customFormat="1" customHeight="1" spans="1:6">
      <c r="A1940" s="9" t="str">
        <f>"10362106518"</f>
        <v>10362106518</v>
      </c>
      <c r="B1940" s="10">
        <v>35.27</v>
      </c>
      <c r="C1940" s="9">
        <v>10</v>
      </c>
      <c r="D1940" s="9">
        <f t="shared" si="30"/>
        <v>45.27</v>
      </c>
      <c r="E1940" s="12" t="s">
        <v>8</v>
      </c>
      <c r="F1940" s="9"/>
    </row>
    <row r="1941" s="1" customFormat="1" customHeight="1" spans="1:6">
      <c r="A1941" s="9" t="str">
        <f>"10202106519"</f>
        <v>10202106519</v>
      </c>
      <c r="B1941" s="10">
        <v>40.62</v>
      </c>
      <c r="C1941" s="9"/>
      <c r="D1941" s="9">
        <f t="shared" si="30"/>
        <v>40.62</v>
      </c>
      <c r="E1941" s="11"/>
      <c r="F1941" s="9"/>
    </row>
    <row r="1942" s="1" customFormat="1" customHeight="1" spans="1:6">
      <c r="A1942" s="9" t="str">
        <f>"10232106520"</f>
        <v>10232106520</v>
      </c>
      <c r="B1942" s="10">
        <v>43.57</v>
      </c>
      <c r="C1942" s="9"/>
      <c r="D1942" s="9">
        <f t="shared" si="30"/>
        <v>43.57</v>
      </c>
      <c r="E1942" s="11"/>
      <c r="F1942" s="9"/>
    </row>
    <row r="1943" s="1" customFormat="1" customHeight="1" spans="1:6">
      <c r="A1943" s="9" t="str">
        <f>"10332106521"</f>
        <v>10332106521</v>
      </c>
      <c r="B1943" s="10">
        <v>47.57</v>
      </c>
      <c r="C1943" s="9"/>
      <c r="D1943" s="9">
        <f t="shared" si="30"/>
        <v>47.57</v>
      </c>
      <c r="E1943" s="11"/>
      <c r="F1943" s="9"/>
    </row>
    <row r="1944" s="1" customFormat="1" customHeight="1" spans="1:6">
      <c r="A1944" s="9" t="str">
        <f>"10262106522"</f>
        <v>10262106522</v>
      </c>
      <c r="B1944" s="10">
        <v>48.76</v>
      </c>
      <c r="C1944" s="9"/>
      <c r="D1944" s="9">
        <f t="shared" si="30"/>
        <v>48.76</v>
      </c>
      <c r="E1944" s="11"/>
      <c r="F1944" s="9"/>
    </row>
    <row r="1945" s="1" customFormat="1" customHeight="1" spans="1:6">
      <c r="A1945" s="9" t="str">
        <f>"10362106523"</f>
        <v>10362106523</v>
      </c>
      <c r="B1945" s="10">
        <v>44.42</v>
      </c>
      <c r="C1945" s="9"/>
      <c r="D1945" s="9">
        <f t="shared" si="30"/>
        <v>44.42</v>
      </c>
      <c r="E1945" s="11"/>
      <c r="F1945" s="9"/>
    </row>
    <row r="1946" s="1" customFormat="1" customHeight="1" spans="1:6">
      <c r="A1946" s="9" t="str">
        <f>"10282106524"</f>
        <v>10282106524</v>
      </c>
      <c r="B1946" s="10">
        <v>41.94</v>
      </c>
      <c r="C1946" s="9"/>
      <c r="D1946" s="9">
        <f t="shared" si="30"/>
        <v>41.94</v>
      </c>
      <c r="E1946" s="11"/>
      <c r="F1946" s="9"/>
    </row>
    <row r="1947" s="1" customFormat="1" customHeight="1" spans="1:6">
      <c r="A1947" s="9" t="str">
        <f>"10062106525"</f>
        <v>10062106525</v>
      </c>
      <c r="B1947" s="10">
        <v>37.68</v>
      </c>
      <c r="C1947" s="9"/>
      <c r="D1947" s="9">
        <f t="shared" si="30"/>
        <v>37.68</v>
      </c>
      <c r="E1947" s="11"/>
      <c r="F1947" s="9"/>
    </row>
    <row r="1948" s="1" customFormat="1" customHeight="1" spans="1:6">
      <c r="A1948" s="9" t="str">
        <f>"10342106526"</f>
        <v>10342106526</v>
      </c>
      <c r="B1948" s="10">
        <v>41.94</v>
      </c>
      <c r="C1948" s="9"/>
      <c r="D1948" s="9">
        <f t="shared" si="30"/>
        <v>41.94</v>
      </c>
      <c r="E1948" s="11"/>
      <c r="F1948" s="9"/>
    </row>
    <row r="1949" s="1" customFormat="1" customHeight="1" spans="1:6">
      <c r="A1949" s="9" t="str">
        <f>"10362106527"</f>
        <v>10362106527</v>
      </c>
      <c r="B1949" s="10">
        <v>45.37</v>
      </c>
      <c r="C1949" s="9"/>
      <c r="D1949" s="9">
        <f t="shared" si="30"/>
        <v>45.37</v>
      </c>
      <c r="E1949" s="11"/>
      <c r="F1949" s="9"/>
    </row>
    <row r="1950" s="1" customFormat="1" customHeight="1" spans="1:6">
      <c r="A1950" s="9" t="str">
        <f>"10362106528"</f>
        <v>10362106528</v>
      </c>
      <c r="B1950" s="10">
        <v>36.27</v>
      </c>
      <c r="C1950" s="9"/>
      <c r="D1950" s="9">
        <f t="shared" si="30"/>
        <v>36.27</v>
      </c>
      <c r="E1950" s="11"/>
      <c r="F1950" s="9"/>
    </row>
    <row r="1951" s="1" customFormat="1" customHeight="1" spans="1:6">
      <c r="A1951" s="9" t="str">
        <f>"10172106529"</f>
        <v>10172106529</v>
      </c>
      <c r="B1951" s="10">
        <v>43</v>
      </c>
      <c r="C1951" s="9"/>
      <c r="D1951" s="9">
        <f t="shared" si="30"/>
        <v>43</v>
      </c>
      <c r="E1951" s="11"/>
      <c r="F1951" s="9"/>
    </row>
    <row r="1952" s="1" customFormat="1" customHeight="1" spans="1:6">
      <c r="A1952" s="9" t="str">
        <f>"10062106530"</f>
        <v>10062106530</v>
      </c>
      <c r="B1952" s="10">
        <v>42.98</v>
      </c>
      <c r="C1952" s="9"/>
      <c r="D1952" s="9">
        <f t="shared" si="30"/>
        <v>42.98</v>
      </c>
      <c r="E1952" s="11"/>
      <c r="F1952" s="9"/>
    </row>
    <row r="1953" s="1" customFormat="1" customHeight="1" spans="1:6">
      <c r="A1953" s="9" t="str">
        <f>"10112106601"</f>
        <v>10112106601</v>
      </c>
      <c r="B1953" s="10">
        <v>42.27</v>
      </c>
      <c r="C1953" s="9"/>
      <c r="D1953" s="9">
        <f t="shared" si="30"/>
        <v>42.27</v>
      </c>
      <c r="E1953" s="11"/>
      <c r="F1953" s="9"/>
    </row>
    <row r="1954" s="1" customFormat="1" customHeight="1" spans="1:6">
      <c r="A1954" s="9" t="str">
        <f>"10322106602"</f>
        <v>10322106602</v>
      </c>
      <c r="B1954" s="10">
        <v>34.7</v>
      </c>
      <c r="C1954" s="9"/>
      <c r="D1954" s="9">
        <f t="shared" si="30"/>
        <v>34.7</v>
      </c>
      <c r="E1954" s="11"/>
      <c r="F1954" s="9"/>
    </row>
    <row r="1955" s="1" customFormat="1" customHeight="1" spans="1:6">
      <c r="A1955" s="9" t="str">
        <f>"10452106603"</f>
        <v>10452106603</v>
      </c>
      <c r="B1955" s="10">
        <v>0</v>
      </c>
      <c r="C1955" s="9"/>
      <c r="D1955" s="9">
        <f t="shared" si="30"/>
        <v>0</v>
      </c>
      <c r="E1955" s="11"/>
      <c r="F1955" s="9" t="s">
        <v>7</v>
      </c>
    </row>
    <row r="1956" s="1" customFormat="1" customHeight="1" spans="1:6">
      <c r="A1956" s="9" t="str">
        <f>"10112106604"</f>
        <v>10112106604</v>
      </c>
      <c r="B1956" s="10">
        <v>36.56</v>
      </c>
      <c r="C1956" s="9"/>
      <c r="D1956" s="9">
        <f t="shared" si="30"/>
        <v>36.56</v>
      </c>
      <c r="E1956" s="11"/>
      <c r="F1956" s="9"/>
    </row>
    <row r="1957" s="1" customFormat="1" customHeight="1" spans="1:6">
      <c r="A1957" s="9" t="str">
        <f>"10302106605"</f>
        <v>10302106605</v>
      </c>
      <c r="B1957" s="10">
        <v>44.35</v>
      </c>
      <c r="C1957" s="9"/>
      <c r="D1957" s="9">
        <f t="shared" si="30"/>
        <v>44.35</v>
      </c>
      <c r="E1957" s="11"/>
      <c r="F1957" s="9"/>
    </row>
    <row r="1958" s="1" customFormat="1" customHeight="1" spans="1:6">
      <c r="A1958" s="9" t="str">
        <f>"10362106606"</f>
        <v>10362106606</v>
      </c>
      <c r="B1958" s="10">
        <v>41.22</v>
      </c>
      <c r="C1958" s="9"/>
      <c r="D1958" s="9">
        <f t="shared" si="30"/>
        <v>41.22</v>
      </c>
      <c r="E1958" s="11"/>
      <c r="F1958" s="9"/>
    </row>
    <row r="1959" s="1" customFormat="1" customHeight="1" spans="1:6">
      <c r="A1959" s="9" t="str">
        <f>"10362106607"</f>
        <v>10362106607</v>
      </c>
      <c r="B1959" s="10">
        <v>42.99</v>
      </c>
      <c r="C1959" s="9"/>
      <c r="D1959" s="9">
        <f t="shared" si="30"/>
        <v>42.99</v>
      </c>
      <c r="E1959" s="11"/>
      <c r="F1959" s="9"/>
    </row>
    <row r="1960" s="1" customFormat="1" customHeight="1" spans="1:6">
      <c r="A1960" s="9" t="str">
        <f>"10092106608"</f>
        <v>10092106608</v>
      </c>
      <c r="B1960" s="10">
        <v>40.36</v>
      </c>
      <c r="C1960" s="9"/>
      <c r="D1960" s="9">
        <f t="shared" si="30"/>
        <v>40.36</v>
      </c>
      <c r="E1960" s="11"/>
      <c r="F1960" s="9"/>
    </row>
    <row r="1961" s="1" customFormat="1" customHeight="1" spans="1:6">
      <c r="A1961" s="9" t="str">
        <f>"10072106609"</f>
        <v>10072106609</v>
      </c>
      <c r="B1961" s="10">
        <v>0</v>
      </c>
      <c r="C1961" s="9"/>
      <c r="D1961" s="9">
        <f t="shared" si="30"/>
        <v>0</v>
      </c>
      <c r="E1961" s="11"/>
      <c r="F1961" s="9" t="s">
        <v>7</v>
      </c>
    </row>
    <row r="1962" s="1" customFormat="1" customHeight="1" spans="1:6">
      <c r="A1962" s="9" t="str">
        <f>"10242106610"</f>
        <v>10242106610</v>
      </c>
      <c r="B1962" s="10">
        <v>47</v>
      </c>
      <c r="C1962" s="9"/>
      <c r="D1962" s="9">
        <f t="shared" si="30"/>
        <v>47</v>
      </c>
      <c r="E1962" s="11"/>
      <c r="F1962" s="9"/>
    </row>
    <row r="1963" s="1" customFormat="1" customHeight="1" spans="1:6">
      <c r="A1963" s="9" t="str">
        <f>"10362106611"</f>
        <v>10362106611</v>
      </c>
      <c r="B1963" s="10">
        <v>35.97</v>
      </c>
      <c r="C1963" s="9"/>
      <c r="D1963" s="9">
        <f t="shared" si="30"/>
        <v>35.97</v>
      </c>
      <c r="E1963" s="11"/>
      <c r="F1963" s="9"/>
    </row>
    <row r="1964" s="1" customFormat="1" customHeight="1" spans="1:6">
      <c r="A1964" s="9" t="str">
        <f>"10212106612"</f>
        <v>10212106612</v>
      </c>
      <c r="B1964" s="10">
        <v>0</v>
      </c>
      <c r="C1964" s="9"/>
      <c r="D1964" s="9">
        <f t="shared" si="30"/>
        <v>0</v>
      </c>
      <c r="E1964" s="11"/>
      <c r="F1964" s="9" t="s">
        <v>7</v>
      </c>
    </row>
    <row r="1965" s="1" customFormat="1" customHeight="1" spans="1:6">
      <c r="A1965" s="9" t="str">
        <f>"10012106613"</f>
        <v>10012106613</v>
      </c>
      <c r="B1965" s="10">
        <v>0</v>
      </c>
      <c r="C1965" s="9"/>
      <c r="D1965" s="9">
        <f t="shared" si="30"/>
        <v>0</v>
      </c>
      <c r="E1965" s="11"/>
      <c r="F1965" s="9" t="s">
        <v>7</v>
      </c>
    </row>
    <row r="1966" s="1" customFormat="1" customHeight="1" spans="1:6">
      <c r="A1966" s="9" t="str">
        <f>"10082106614"</f>
        <v>10082106614</v>
      </c>
      <c r="B1966" s="10">
        <v>37.21</v>
      </c>
      <c r="C1966" s="9"/>
      <c r="D1966" s="9">
        <f t="shared" si="30"/>
        <v>37.21</v>
      </c>
      <c r="E1966" s="11"/>
      <c r="F1966" s="9"/>
    </row>
    <row r="1967" s="1" customFormat="1" customHeight="1" spans="1:6">
      <c r="A1967" s="9" t="str">
        <f>"10322106615"</f>
        <v>10322106615</v>
      </c>
      <c r="B1967" s="10">
        <v>41.13</v>
      </c>
      <c r="C1967" s="9"/>
      <c r="D1967" s="9">
        <f t="shared" si="30"/>
        <v>41.13</v>
      </c>
      <c r="E1967" s="11"/>
      <c r="F1967" s="9"/>
    </row>
    <row r="1968" s="1" customFormat="1" customHeight="1" spans="1:6">
      <c r="A1968" s="9" t="str">
        <f>"10212106616"</f>
        <v>10212106616</v>
      </c>
      <c r="B1968" s="10">
        <v>40.59</v>
      </c>
      <c r="C1968" s="9"/>
      <c r="D1968" s="9">
        <f t="shared" si="30"/>
        <v>40.59</v>
      </c>
      <c r="E1968" s="11"/>
      <c r="F1968" s="9"/>
    </row>
    <row r="1969" s="1" customFormat="1" customHeight="1" spans="1:6">
      <c r="A1969" s="9" t="str">
        <f>"10412106617"</f>
        <v>10412106617</v>
      </c>
      <c r="B1969" s="10">
        <v>37.67</v>
      </c>
      <c r="C1969" s="9"/>
      <c r="D1969" s="9">
        <f t="shared" si="30"/>
        <v>37.67</v>
      </c>
      <c r="E1969" s="11"/>
      <c r="F1969" s="9"/>
    </row>
    <row r="1970" s="1" customFormat="1" customHeight="1" spans="1:6">
      <c r="A1970" s="9" t="str">
        <f>"10162106618"</f>
        <v>10162106618</v>
      </c>
      <c r="B1970" s="10">
        <v>46.8</v>
      </c>
      <c r="C1970" s="9"/>
      <c r="D1970" s="9">
        <f t="shared" si="30"/>
        <v>46.8</v>
      </c>
      <c r="E1970" s="11"/>
      <c r="F1970" s="9"/>
    </row>
    <row r="1971" s="1" customFormat="1" customHeight="1" spans="1:6">
      <c r="A1971" s="9" t="str">
        <f>"20182106619"</f>
        <v>20182106619</v>
      </c>
      <c r="B1971" s="10">
        <v>53.24</v>
      </c>
      <c r="C1971" s="9"/>
      <c r="D1971" s="9">
        <f t="shared" si="30"/>
        <v>53.24</v>
      </c>
      <c r="E1971" s="11"/>
      <c r="F1971" s="9"/>
    </row>
    <row r="1972" s="1" customFormat="1" customHeight="1" spans="1:6">
      <c r="A1972" s="9" t="str">
        <f>"10332106620"</f>
        <v>10332106620</v>
      </c>
      <c r="B1972" s="10">
        <v>34.57</v>
      </c>
      <c r="C1972" s="9"/>
      <c r="D1972" s="9">
        <f t="shared" si="30"/>
        <v>34.57</v>
      </c>
      <c r="E1972" s="11"/>
      <c r="F1972" s="9"/>
    </row>
    <row r="1973" s="1" customFormat="1" customHeight="1" spans="1:6">
      <c r="A1973" s="9" t="str">
        <f>"10112106621"</f>
        <v>10112106621</v>
      </c>
      <c r="B1973" s="10">
        <v>39.33</v>
      </c>
      <c r="C1973" s="9"/>
      <c r="D1973" s="9">
        <f t="shared" si="30"/>
        <v>39.33</v>
      </c>
      <c r="E1973" s="11"/>
      <c r="F1973" s="9"/>
    </row>
    <row r="1974" s="1" customFormat="1" customHeight="1" spans="1:6">
      <c r="A1974" s="9" t="str">
        <f>"10062106622"</f>
        <v>10062106622</v>
      </c>
      <c r="B1974" s="10">
        <v>0</v>
      </c>
      <c r="C1974" s="9"/>
      <c r="D1974" s="9">
        <f t="shared" si="30"/>
        <v>0</v>
      </c>
      <c r="E1974" s="11"/>
      <c r="F1974" s="9" t="s">
        <v>7</v>
      </c>
    </row>
    <row r="1975" s="1" customFormat="1" customHeight="1" spans="1:6">
      <c r="A1975" s="9" t="str">
        <f>"10362106623"</f>
        <v>10362106623</v>
      </c>
      <c r="B1975" s="10">
        <v>40.84</v>
      </c>
      <c r="C1975" s="9">
        <v>10</v>
      </c>
      <c r="D1975" s="9">
        <f t="shared" si="30"/>
        <v>50.84</v>
      </c>
      <c r="E1975" s="12" t="s">
        <v>8</v>
      </c>
      <c r="F1975" s="9"/>
    </row>
    <row r="1976" s="1" customFormat="1" customHeight="1" spans="1:6">
      <c r="A1976" s="9" t="str">
        <f>"10532106624"</f>
        <v>10532106624</v>
      </c>
      <c r="B1976" s="10">
        <v>83.78</v>
      </c>
      <c r="C1976" s="9"/>
      <c r="D1976" s="9">
        <f t="shared" si="30"/>
        <v>83.78</v>
      </c>
      <c r="E1976" s="11"/>
      <c r="F1976" s="9"/>
    </row>
    <row r="1977" s="1" customFormat="1" customHeight="1" spans="1:6">
      <c r="A1977" s="9" t="str">
        <f>"10302106625"</f>
        <v>10302106625</v>
      </c>
      <c r="B1977" s="10">
        <v>42.2</v>
      </c>
      <c r="C1977" s="9"/>
      <c r="D1977" s="9">
        <f t="shared" si="30"/>
        <v>42.2</v>
      </c>
      <c r="E1977" s="11"/>
      <c r="F1977" s="9"/>
    </row>
    <row r="1978" s="1" customFormat="1" customHeight="1" spans="1:6">
      <c r="A1978" s="9" t="str">
        <f>"10102106626"</f>
        <v>10102106626</v>
      </c>
      <c r="B1978" s="10">
        <v>0</v>
      </c>
      <c r="C1978" s="9"/>
      <c r="D1978" s="9">
        <f t="shared" si="30"/>
        <v>0</v>
      </c>
      <c r="E1978" s="11"/>
      <c r="F1978" s="9" t="s">
        <v>7</v>
      </c>
    </row>
    <row r="1979" s="1" customFormat="1" customHeight="1" spans="1:6">
      <c r="A1979" s="9" t="str">
        <f>"10382106627"</f>
        <v>10382106627</v>
      </c>
      <c r="B1979" s="10">
        <v>41.37</v>
      </c>
      <c r="C1979" s="9"/>
      <c r="D1979" s="9">
        <f t="shared" si="30"/>
        <v>41.37</v>
      </c>
      <c r="E1979" s="11"/>
      <c r="F1979" s="9"/>
    </row>
    <row r="1980" s="1" customFormat="1" customHeight="1" spans="1:6">
      <c r="A1980" s="9" t="str">
        <f>"10332106628"</f>
        <v>10332106628</v>
      </c>
      <c r="B1980" s="10">
        <v>73.44</v>
      </c>
      <c r="C1980" s="9"/>
      <c r="D1980" s="9">
        <f t="shared" si="30"/>
        <v>73.44</v>
      </c>
      <c r="E1980" s="11"/>
      <c r="F1980" s="9"/>
    </row>
    <row r="1981" s="1" customFormat="1" customHeight="1" spans="1:6">
      <c r="A1981" s="9" t="str">
        <f>"10532106629"</f>
        <v>10532106629</v>
      </c>
      <c r="B1981" s="10">
        <v>0</v>
      </c>
      <c r="C1981" s="9"/>
      <c r="D1981" s="9">
        <f t="shared" si="30"/>
        <v>0</v>
      </c>
      <c r="E1981" s="11"/>
      <c r="F1981" s="9" t="s">
        <v>7</v>
      </c>
    </row>
    <row r="1982" s="1" customFormat="1" customHeight="1" spans="1:6">
      <c r="A1982" s="9" t="str">
        <f>"10522106630"</f>
        <v>10522106630</v>
      </c>
      <c r="B1982" s="10">
        <v>0</v>
      </c>
      <c r="C1982" s="9"/>
      <c r="D1982" s="9">
        <f t="shared" si="30"/>
        <v>0</v>
      </c>
      <c r="E1982" s="11"/>
      <c r="F1982" s="9" t="s">
        <v>7</v>
      </c>
    </row>
    <row r="1983" s="1" customFormat="1" customHeight="1" spans="1:6">
      <c r="A1983" s="9" t="str">
        <f>"10512106701"</f>
        <v>10512106701</v>
      </c>
      <c r="B1983" s="10">
        <v>34.61</v>
      </c>
      <c r="C1983" s="9"/>
      <c r="D1983" s="9">
        <f t="shared" si="30"/>
        <v>34.61</v>
      </c>
      <c r="E1983" s="11"/>
      <c r="F1983" s="9"/>
    </row>
    <row r="1984" s="1" customFormat="1" customHeight="1" spans="1:6">
      <c r="A1984" s="9" t="str">
        <f>"10112106702"</f>
        <v>10112106702</v>
      </c>
      <c r="B1984" s="10">
        <v>0</v>
      </c>
      <c r="C1984" s="9"/>
      <c r="D1984" s="9">
        <f t="shared" si="30"/>
        <v>0</v>
      </c>
      <c r="E1984" s="11"/>
      <c r="F1984" s="9" t="s">
        <v>7</v>
      </c>
    </row>
    <row r="1985" s="1" customFormat="1" customHeight="1" spans="1:6">
      <c r="A1985" s="9" t="str">
        <f>"10362106703"</f>
        <v>10362106703</v>
      </c>
      <c r="B1985" s="10">
        <v>48.05</v>
      </c>
      <c r="C1985" s="9">
        <v>10</v>
      </c>
      <c r="D1985" s="9">
        <f t="shared" si="30"/>
        <v>58.05</v>
      </c>
      <c r="E1985" s="12" t="s">
        <v>8</v>
      </c>
      <c r="F1985" s="9"/>
    </row>
    <row r="1986" s="1" customFormat="1" customHeight="1" spans="1:6">
      <c r="A1986" s="9" t="str">
        <f>"10362106704"</f>
        <v>10362106704</v>
      </c>
      <c r="B1986" s="10">
        <v>28.73</v>
      </c>
      <c r="C1986" s="9"/>
      <c r="D1986" s="9">
        <f t="shared" si="30"/>
        <v>28.73</v>
      </c>
      <c r="E1986" s="11"/>
      <c r="F1986" s="9"/>
    </row>
    <row r="1987" s="1" customFormat="1" customHeight="1" spans="1:6">
      <c r="A1987" s="9" t="str">
        <f>"10362106705"</f>
        <v>10362106705</v>
      </c>
      <c r="B1987" s="10">
        <v>42.22</v>
      </c>
      <c r="C1987" s="9"/>
      <c r="D1987" s="9">
        <f t="shared" ref="D1987:D2050" si="31">SUM(B1987:C1987)</f>
        <v>42.22</v>
      </c>
      <c r="E1987" s="11"/>
      <c r="F1987" s="9"/>
    </row>
    <row r="1988" s="1" customFormat="1" customHeight="1" spans="1:6">
      <c r="A1988" s="9" t="str">
        <f>"10362106706"</f>
        <v>10362106706</v>
      </c>
      <c r="B1988" s="10">
        <v>0</v>
      </c>
      <c r="C1988" s="9"/>
      <c r="D1988" s="9">
        <f t="shared" si="31"/>
        <v>0</v>
      </c>
      <c r="E1988" s="11"/>
      <c r="F1988" s="9" t="s">
        <v>7</v>
      </c>
    </row>
    <row r="1989" s="1" customFormat="1" customHeight="1" spans="1:6">
      <c r="A1989" s="9" t="str">
        <f>"10362106707"</f>
        <v>10362106707</v>
      </c>
      <c r="B1989" s="10">
        <v>38.26</v>
      </c>
      <c r="C1989" s="9"/>
      <c r="D1989" s="9">
        <f t="shared" si="31"/>
        <v>38.26</v>
      </c>
      <c r="E1989" s="11"/>
      <c r="F1989" s="9"/>
    </row>
    <row r="1990" s="1" customFormat="1" customHeight="1" spans="1:6">
      <c r="A1990" s="9" t="str">
        <f>"10422106708"</f>
        <v>10422106708</v>
      </c>
      <c r="B1990" s="10">
        <v>37.93</v>
      </c>
      <c r="C1990" s="9"/>
      <c r="D1990" s="9">
        <f t="shared" si="31"/>
        <v>37.93</v>
      </c>
      <c r="E1990" s="11"/>
      <c r="F1990" s="9"/>
    </row>
    <row r="1991" s="1" customFormat="1" customHeight="1" spans="1:6">
      <c r="A1991" s="9" t="str">
        <f>"10232106709"</f>
        <v>10232106709</v>
      </c>
      <c r="B1991" s="10">
        <v>37.98</v>
      </c>
      <c r="C1991" s="9"/>
      <c r="D1991" s="9">
        <f t="shared" si="31"/>
        <v>37.98</v>
      </c>
      <c r="E1991" s="11"/>
      <c r="F1991" s="9"/>
    </row>
    <row r="1992" s="1" customFormat="1" customHeight="1" spans="1:6">
      <c r="A1992" s="9" t="str">
        <f>"10302106710"</f>
        <v>10302106710</v>
      </c>
      <c r="B1992" s="10">
        <v>31.38</v>
      </c>
      <c r="C1992" s="9"/>
      <c r="D1992" s="9">
        <f t="shared" si="31"/>
        <v>31.38</v>
      </c>
      <c r="E1992" s="11"/>
      <c r="F1992" s="9"/>
    </row>
    <row r="1993" s="1" customFormat="1" customHeight="1" spans="1:6">
      <c r="A1993" s="9" t="str">
        <f>"10122106711"</f>
        <v>10122106711</v>
      </c>
      <c r="B1993" s="10">
        <v>42.41</v>
      </c>
      <c r="C1993" s="9"/>
      <c r="D1993" s="9">
        <f t="shared" si="31"/>
        <v>42.41</v>
      </c>
      <c r="E1993" s="11"/>
      <c r="F1993" s="9"/>
    </row>
    <row r="1994" s="1" customFormat="1" customHeight="1" spans="1:6">
      <c r="A1994" s="9" t="str">
        <f>"10452106712"</f>
        <v>10452106712</v>
      </c>
      <c r="B1994" s="10">
        <v>43.53</v>
      </c>
      <c r="C1994" s="9"/>
      <c r="D1994" s="9">
        <f t="shared" si="31"/>
        <v>43.53</v>
      </c>
      <c r="E1994" s="11"/>
      <c r="F1994" s="9"/>
    </row>
    <row r="1995" s="1" customFormat="1" customHeight="1" spans="1:6">
      <c r="A1995" s="9" t="str">
        <f>"10352106713"</f>
        <v>10352106713</v>
      </c>
      <c r="B1995" s="10">
        <v>43.81</v>
      </c>
      <c r="C1995" s="9"/>
      <c r="D1995" s="9">
        <f t="shared" si="31"/>
        <v>43.81</v>
      </c>
      <c r="E1995" s="11"/>
      <c r="F1995" s="9"/>
    </row>
    <row r="1996" s="1" customFormat="1" customHeight="1" spans="1:6">
      <c r="A1996" s="9" t="str">
        <f>"10362106714"</f>
        <v>10362106714</v>
      </c>
      <c r="B1996" s="10">
        <v>0</v>
      </c>
      <c r="C1996" s="9"/>
      <c r="D1996" s="9">
        <f t="shared" si="31"/>
        <v>0</v>
      </c>
      <c r="E1996" s="11"/>
      <c r="F1996" s="9" t="s">
        <v>7</v>
      </c>
    </row>
    <row r="1997" s="1" customFormat="1" customHeight="1" spans="1:6">
      <c r="A1997" s="9" t="str">
        <f>"10362106715"</f>
        <v>10362106715</v>
      </c>
      <c r="B1997" s="10">
        <v>43.33</v>
      </c>
      <c r="C1997" s="9"/>
      <c r="D1997" s="9">
        <f t="shared" si="31"/>
        <v>43.33</v>
      </c>
      <c r="E1997" s="11"/>
      <c r="F1997" s="9"/>
    </row>
    <row r="1998" s="1" customFormat="1" customHeight="1" spans="1:6">
      <c r="A1998" s="9" t="str">
        <f>"10452106716"</f>
        <v>10452106716</v>
      </c>
      <c r="B1998" s="10">
        <v>44.64</v>
      </c>
      <c r="C1998" s="9"/>
      <c r="D1998" s="9">
        <f t="shared" si="31"/>
        <v>44.64</v>
      </c>
      <c r="E1998" s="11"/>
      <c r="F1998" s="9"/>
    </row>
    <row r="1999" s="1" customFormat="1" customHeight="1" spans="1:6">
      <c r="A1999" s="9" t="str">
        <f>"10502106717"</f>
        <v>10502106717</v>
      </c>
      <c r="B1999" s="10">
        <v>41.05</v>
      </c>
      <c r="C1999" s="9"/>
      <c r="D1999" s="9">
        <f t="shared" si="31"/>
        <v>41.05</v>
      </c>
      <c r="E1999" s="11"/>
      <c r="F1999" s="9"/>
    </row>
    <row r="2000" s="1" customFormat="1" customHeight="1" spans="1:6">
      <c r="A2000" s="9" t="str">
        <f>"10232106718"</f>
        <v>10232106718</v>
      </c>
      <c r="B2000" s="10">
        <v>29.81</v>
      </c>
      <c r="C2000" s="9"/>
      <c r="D2000" s="9">
        <f t="shared" si="31"/>
        <v>29.81</v>
      </c>
      <c r="E2000" s="11"/>
      <c r="F2000" s="9"/>
    </row>
    <row r="2001" s="1" customFormat="1" customHeight="1" spans="1:6">
      <c r="A2001" s="9" t="str">
        <f>"10362106719"</f>
        <v>10362106719</v>
      </c>
      <c r="B2001" s="10">
        <v>38.47</v>
      </c>
      <c r="C2001" s="9"/>
      <c r="D2001" s="9">
        <f t="shared" si="31"/>
        <v>38.47</v>
      </c>
      <c r="E2001" s="11"/>
      <c r="F2001" s="9"/>
    </row>
    <row r="2002" s="1" customFormat="1" customHeight="1" spans="1:6">
      <c r="A2002" s="9" t="str">
        <f>"10212106720"</f>
        <v>10212106720</v>
      </c>
      <c r="B2002" s="10">
        <v>0</v>
      </c>
      <c r="C2002" s="9"/>
      <c r="D2002" s="9">
        <f t="shared" si="31"/>
        <v>0</v>
      </c>
      <c r="E2002" s="11"/>
      <c r="F2002" s="9" t="s">
        <v>7</v>
      </c>
    </row>
    <row r="2003" s="1" customFormat="1" customHeight="1" spans="1:6">
      <c r="A2003" s="9" t="str">
        <f>"10172106721"</f>
        <v>10172106721</v>
      </c>
      <c r="B2003" s="10">
        <v>41.36</v>
      </c>
      <c r="C2003" s="9"/>
      <c r="D2003" s="9">
        <f t="shared" si="31"/>
        <v>41.36</v>
      </c>
      <c r="E2003" s="11"/>
      <c r="F2003" s="9"/>
    </row>
    <row r="2004" s="1" customFormat="1" customHeight="1" spans="1:6">
      <c r="A2004" s="9" t="str">
        <f>"10362106722"</f>
        <v>10362106722</v>
      </c>
      <c r="B2004" s="10">
        <v>36.15</v>
      </c>
      <c r="C2004" s="9"/>
      <c r="D2004" s="9">
        <f t="shared" si="31"/>
        <v>36.15</v>
      </c>
      <c r="E2004" s="11"/>
      <c r="F2004" s="9"/>
    </row>
    <row r="2005" s="1" customFormat="1" customHeight="1" spans="1:6">
      <c r="A2005" s="9" t="str">
        <f>"10362106723"</f>
        <v>10362106723</v>
      </c>
      <c r="B2005" s="10">
        <v>0</v>
      </c>
      <c r="C2005" s="9"/>
      <c r="D2005" s="9">
        <f t="shared" si="31"/>
        <v>0</v>
      </c>
      <c r="E2005" s="11"/>
      <c r="F2005" s="9" t="s">
        <v>7</v>
      </c>
    </row>
    <row r="2006" s="1" customFormat="1" customHeight="1" spans="1:6">
      <c r="A2006" s="9" t="str">
        <f>"10062106724"</f>
        <v>10062106724</v>
      </c>
      <c r="B2006" s="10">
        <v>40.24</v>
      </c>
      <c r="C2006" s="9"/>
      <c r="D2006" s="9">
        <f t="shared" si="31"/>
        <v>40.24</v>
      </c>
      <c r="E2006" s="11"/>
      <c r="F2006" s="9"/>
    </row>
    <row r="2007" s="1" customFormat="1" customHeight="1" spans="1:6">
      <c r="A2007" s="9" t="str">
        <f>"10362106725"</f>
        <v>10362106725</v>
      </c>
      <c r="B2007" s="10">
        <v>36.94</v>
      </c>
      <c r="C2007" s="9"/>
      <c r="D2007" s="9">
        <f t="shared" si="31"/>
        <v>36.94</v>
      </c>
      <c r="E2007" s="11"/>
      <c r="F2007" s="9"/>
    </row>
    <row r="2008" s="1" customFormat="1" customHeight="1" spans="1:6">
      <c r="A2008" s="9" t="str">
        <f>"10512106726"</f>
        <v>10512106726</v>
      </c>
      <c r="B2008" s="10">
        <v>0</v>
      </c>
      <c r="C2008" s="9"/>
      <c r="D2008" s="9">
        <f t="shared" si="31"/>
        <v>0</v>
      </c>
      <c r="E2008" s="11"/>
      <c r="F2008" s="9" t="s">
        <v>7</v>
      </c>
    </row>
    <row r="2009" s="1" customFormat="1" customHeight="1" spans="1:6">
      <c r="A2009" s="9" t="str">
        <f>"20182106727"</f>
        <v>20182106727</v>
      </c>
      <c r="B2009" s="10">
        <v>37.45</v>
      </c>
      <c r="C2009" s="9"/>
      <c r="D2009" s="9">
        <f t="shared" si="31"/>
        <v>37.45</v>
      </c>
      <c r="E2009" s="11"/>
      <c r="F2009" s="9"/>
    </row>
    <row r="2010" s="1" customFormat="1" customHeight="1" spans="1:6">
      <c r="A2010" s="9" t="str">
        <f>"10532106728"</f>
        <v>10532106728</v>
      </c>
      <c r="B2010" s="10">
        <v>36.59</v>
      </c>
      <c r="C2010" s="9"/>
      <c r="D2010" s="9">
        <f t="shared" si="31"/>
        <v>36.59</v>
      </c>
      <c r="E2010" s="11"/>
      <c r="F2010" s="9"/>
    </row>
    <row r="2011" s="1" customFormat="1" customHeight="1" spans="1:6">
      <c r="A2011" s="9" t="str">
        <f>"10332106729"</f>
        <v>10332106729</v>
      </c>
      <c r="B2011" s="10">
        <v>0</v>
      </c>
      <c r="C2011" s="9"/>
      <c r="D2011" s="9">
        <f t="shared" si="31"/>
        <v>0</v>
      </c>
      <c r="E2011" s="11"/>
      <c r="F2011" s="9" t="s">
        <v>7</v>
      </c>
    </row>
    <row r="2012" s="1" customFormat="1" customHeight="1" spans="1:6">
      <c r="A2012" s="9" t="str">
        <f>"10012106730"</f>
        <v>10012106730</v>
      </c>
      <c r="B2012" s="10">
        <v>41.39</v>
      </c>
      <c r="C2012" s="9"/>
      <c r="D2012" s="9">
        <f t="shared" si="31"/>
        <v>41.39</v>
      </c>
      <c r="E2012" s="11"/>
      <c r="F2012" s="9"/>
    </row>
    <row r="2013" s="1" customFormat="1" customHeight="1" spans="1:6">
      <c r="A2013" s="9" t="str">
        <f>"10462106801"</f>
        <v>10462106801</v>
      </c>
      <c r="B2013" s="10">
        <v>0</v>
      </c>
      <c r="C2013" s="9"/>
      <c r="D2013" s="9">
        <f t="shared" si="31"/>
        <v>0</v>
      </c>
      <c r="E2013" s="11"/>
      <c r="F2013" s="9" t="s">
        <v>7</v>
      </c>
    </row>
    <row r="2014" s="1" customFormat="1" customHeight="1" spans="1:6">
      <c r="A2014" s="9" t="str">
        <f>"10532106802"</f>
        <v>10532106802</v>
      </c>
      <c r="B2014" s="10">
        <v>32.8</v>
      </c>
      <c r="C2014" s="9"/>
      <c r="D2014" s="9">
        <f t="shared" si="31"/>
        <v>32.8</v>
      </c>
      <c r="E2014" s="11"/>
      <c r="F2014" s="9"/>
    </row>
    <row r="2015" s="1" customFormat="1" customHeight="1" spans="1:6">
      <c r="A2015" s="9" t="str">
        <f>"10332106803"</f>
        <v>10332106803</v>
      </c>
      <c r="B2015" s="10">
        <v>43.55</v>
      </c>
      <c r="C2015" s="9"/>
      <c r="D2015" s="9">
        <f t="shared" si="31"/>
        <v>43.55</v>
      </c>
      <c r="E2015" s="11"/>
      <c r="F2015" s="9"/>
    </row>
    <row r="2016" s="1" customFormat="1" customHeight="1" spans="1:6">
      <c r="A2016" s="9" t="str">
        <f>"10362106804"</f>
        <v>10362106804</v>
      </c>
      <c r="B2016" s="10">
        <v>26.74</v>
      </c>
      <c r="C2016" s="9"/>
      <c r="D2016" s="9">
        <f t="shared" si="31"/>
        <v>26.74</v>
      </c>
      <c r="E2016" s="11"/>
      <c r="F2016" s="9"/>
    </row>
    <row r="2017" s="1" customFormat="1" customHeight="1" spans="1:6">
      <c r="A2017" s="9" t="str">
        <f>"10362106805"</f>
        <v>10362106805</v>
      </c>
      <c r="B2017" s="10">
        <v>32.36</v>
      </c>
      <c r="C2017" s="9"/>
      <c r="D2017" s="9">
        <f t="shared" si="31"/>
        <v>32.36</v>
      </c>
      <c r="E2017" s="11"/>
      <c r="F2017" s="9"/>
    </row>
    <row r="2018" s="1" customFormat="1" customHeight="1" spans="1:6">
      <c r="A2018" s="9" t="str">
        <f>"20272106806"</f>
        <v>20272106806</v>
      </c>
      <c r="B2018" s="10">
        <v>37.42</v>
      </c>
      <c r="C2018" s="9"/>
      <c r="D2018" s="9">
        <f t="shared" si="31"/>
        <v>37.42</v>
      </c>
      <c r="E2018" s="11"/>
      <c r="F2018" s="9"/>
    </row>
    <row r="2019" s="1" customFormat="1" customHeight="1" spans="1:6">
      <c r="A2019" s="9" t="str">
        <f>"10362106807"</f>
        <v>10362106807</v>
      </c>
      <c r="B2019" s="10">
        <v>42.61</v>
      </c>
      <c r="C2019" s="9"/>
      <c r="D2019" s="9">
        <f t="shared" si="31"/>
        <v>42.61</v>
      </c>
      <c r="E2019" s="11"/>
      <c r="F2019" s="9"/>
    </row>
    <row r="2020" s="1" customFormat="1" customHeight="1" spans="1:6">
      <c r="A2020" s="9" t="str">
        <f>"20182106808"</f>
        <v>20182106808</v>
      </c>
      <c r="B2020" s="10">
        <v>42.97</v>
      </c>
      <c r="C2020" s="9"/>
      <c r="D2020" s="9">
        <f t="shared" si="31"/>
        <v>42.97</v>
      </c>
      <c r="E2020" s="11"/>
      <c r="F2020" s="9"/>
    </row>
    <row r="2021" s="1" customFormat="1" customHeight="1" spans="1:6">
      <c r="A2021" s="9" t="str">
        <f>"10462106809"</f>
        <v>10462106809</v>
      </c>
      <c r="B2021" s="10">
        <v>0</v>
      </c>
      <c r="C2021" s="9"/>
      <c r="D2021" s="9">
        <f t="shared" si="31"/>
        <v>0</v>
      </c>
      <c r="E2021" s="11"/>
      <c r="F2021" s="9" t="s">
        <v>7</v>
      </c>
    </row>
    <row r="2022" s="1" customFormat="1" customHeight="1" spans="1:6">
      <c r="A2022" s="9" t="str">
        <f>"10422106810"</f>
        <v>10422106810</v>
      </c>
      <c r="B2022" s="10">
        <v>0</v>
      </c>
      <c r="C2022" s="9"/>
      <c r="D2022" s="9">
        <f t="shared" si="31"/>
        <v>0</v>
      </c>
      <c r="E2022" s="11"/>
      <c r="F2022" s="9" t="s">
        <v>7</v>
      </c>
    </row>
    <row r="2023" s="1" customFormat="1" customHeight="1" spans="1:6">
      <c r="A2023" s="9" t="str">
        <f>"10502106811"</f>
        <v>10502106811</v>
      </c>
      <c r="B2023" s="10">
        <v>35.7</v>
      </c>
      <c r="C2023" s="9"/>
      <c r="D2023" s="9">
        <f t="shared" si="31"/>
        <v>35.7</v>
      </c>
      <c r="E2023" s="11"/>
      <c r="F2023" s="9"/>
    </row>
    <row r="2024" s="1" customFormat="1" customHeight="1" spans="1:6">
      <c r="A2024" s="9" t="str">
        <f>"10062106812"</f>
        <v>10062106812</v>
      </c>
      <c r="B2024" s="10">
        <v>33.09</v>
      </c>
      <c r="C2024" s="9"/>
      <c r="D2024" s="9">
        <f t="shared" si="31"/>
        <v>33.09</v>
      </c>
      <c r="E2024" s="11"/>
      <c r="F2024" s="9"/>
    </row>
    <row r="2025" s="1" customFormat="1" customHeight="1" spans="1:6">
      <c r="A2025" s="9" t="str">
        <f>"10332106813"</f>
        <v>10332106813</v>
      </c>
      <c r="B2025" s="10">
        <v>59.23</v>
      </c>
      <c r="C2025" s="9"/>
      <c r="D2025" s="9">
        <f t="shared" si="31"/>
        <v>59.23</v>
      </c>
      <c r="E2025" s="11"/>
      <c r="F2025" s="9"/>
    </row>
    <row r="2026" s="1" customFormat="1" customHeight="1" spans="1:6">
      <c r="A2026" s="9" t="str">
        <f>"10282106814"</f>
        <v>10282106814</v>
      </c>
      <c r="B2026" s="10">
        <v>41.12</v>
      </c>
      <c r="C2026" s="9"/>
      <c r="D2026" s="9">
        <f t="shared" si="31"/>
        <v>41.12</v>
      </c>
      <c r="E2026" s="11"/>
      <c r="F2026" s="9"/>
    </row>
    <row r="2027" s="1" customFormat="1" customHeight="1" spans="1:6">
      <c r="A2027" s="9" t="str">
        <f>"10082106815"</f>
        <v>10082106815</v>
      </c>
      <c r="B2027" s="10">
        <v>44.68</v>
      </c>
      <c r="C2027" s="9">
        <v>10</v>
      </c>
      <c r="D2027" s="9">
        <f t="shared" si="31"/>
        <v>54.68</v>
      </c>
      <c r="E2027" s="12" t="s">
        <v>8</v>
      </c>
      <c r="F2027" s="9"/>
    </row>
    <row r="2028" s="1" customFormat="1" customHeight="1" spans="1:6">
      <c r="A2028" s="9" t="str">
        <f>"10362106816"</f>
        <v>10362106816</v>
      </c>
      <c r="B2028" s="10">
        <v>47.15</v>
      </c>
      <c r="C2028" s="9"/>
      <c r="D2028" s="9">
        <f t="shared" si="31"/>
        <v>47.15</v>
      </c>
      <c r="E2028" s="11"/>
      <c r="F2028" s="9"/>
    </row>
    <row r="2029" s="1" customFormat="1" customHeight="1" spans="1:6">
      <c r="A2029" s="9" t="str">
        <f>"10132106817"</f>
        <v>10132106817</v>
      </c>
      <c r="B2029" s="10">
        <v>43.82</v>
      </c>
      <c r="C2029" s="9"/>
      <c r="D2029" s="9">
        <f t="shared" si="31"/>
        <v>43.82</v>
      </c>
      <c r="E2029" s="11"/>
      <c r="F2029" s="9"/>
    </row>
    <row r="2030" s="1" customFormat="1" customHeight="1" spans="1:6">
      <c r="A2030" s="9" t="str">
        <f>"10232106818"</f>
        <v>10232106818</v>
      </c>
      <c r="B2030" s="10">
        <v>45.13</v>
      </c>
      <c r="C2030" s="9"/>
      <c r="D2030" s="9">
        <f t="shared" si="31"/>
        <v>45.13</v>
      </c>
      <c r="E2030" s="11"/>
      <c r="F2030" s="9"/>
    </row>
    <row r="2031" s="1" customFormat="1" customHeight="1" spans="1:6">
      <c r="A2031" s="9" t="str">
        <f>"10362106819"</f>
        <v>10362106819</v>
      </c>
      <c r="B2031" s="10">
        <v>34.32</v>
      </c>
      <c r="C2031" s="9"/>
      <c r="D2031" s="9">
        <f t="shared" si="31"/>
        <v>34.32</v>
      </c>
      <c r="E2031" s="11"/>
      <c r="F2031" s="9"/>
    </row>
    <row r="2032" s="1" customFormat="1" customHeight="1" spans="1:6">
      <c r="A2032" s="9" t="str">
        <f>"10212106820"</f>
        <v>10212106820</v>
      </c>
      <c r="B2032" s="10">
        <v>55.73</v>
      </c>
      <c r="C2032" s="9"/>
      <c r="D2032" s="9">
        <f t="shared" si="31"/>
        <v>55.73</v>
      </c>
      <c r="E2032" s="11"/>
      <c r="F2032" s="9"/>
    </row>
    <row r="2033" s="1" customFormat="1" customHeight="1" spans="1:6">
      <c r="A2033" s="9" t="str">
        <f>"10312106821"</f>
        <v>10312106821</v>
      </c>
      <c r="B2033" s="10">
        <v>39.14</v>
      </c>
      <c r="C2033" s="9"/>
      <c r="D2033" s="9">
        <f t="shared" si="31"/>
        <v>39.14</v>
      </c>
      <c r="E2033" s="11"/>
      <c r="F2033" s="9"/>
    </row>
    <row r="2034" s="1" customFormat="1" customHeight="1" spans="1:6">
      <c r="A2034" s="9" t="str">
        <f>"10282106822"</f>
        <v>10282106822</v>
      </c>
      <c r="B2034" s="10">
        <v>0</v>
      </c>
      <c r="C2034" s="9"/>
      <c r="D2034" s="9">
        <f t="shared" si="31"/>
        <v>0</v>
      </c>
      <c r="E2034" s="11"/>
      <c r="F2034" s="9" t="s">
        <v>7</v>
      </c>
    </row>
    <row r="2035" s="1" customFormat="1" customHeight="1" spans="1:6">
      <c r="A2035" s="9" t="str">
        <f>"10392106823"</f>
        <v>10392106823</v>
      </c>
      <c r="B2035" s="10">
        <v>0</v>
      </c>
      <c r="C2035" s="9"/>
      <c r="D2035" s="9">
        <f t="shared" si="31"/>
        <v>0</v>
      </c>
      <c r="E2035" s="11"/>
      <c r="F2035" s="9" t="s">
        <v>7</v>
      </c>
    </row>
    <row r="2036" s="1" customFormat="1" customHeight="1" spans="1:6">
      <c r="A2036" s="9" t="str">
        <f>"10372106824"</f>
        <v>10372106824</v>
      </c>
      <c r="B2036" s="10">
        <v>41.77</v>
      </c>
      <c r="C2036" s="9"/>
      <c r="D2036" s="9">
        <f t="shared" si="31"/>
        <v>41.77</v>
      </c>
      <c r="E2036" s="11"/>
      <c r="F2036" s="9"/>
    </row>
    <row r="2037" s="1" customFormat="1" customHeight="1" spans="1:6">
      <c r="A2037" s="9" t="str">
        <f>"10132106825"</f>
        <v>10132106825</v>
      </c>
      <c r="B2037" s="10">
        <v>46.17</v>
      </c>
      <c r="C2037" s="9"/>
      <c r="D2037" s="9">
        <f t="shared" si="31"/>
        <v>46.17</v>
      </c>
      <c r="E2037" s="11"/>
      <c r="F2037" s="9"/>
    </row>
    <row r="2038" s="1" customFormat="1" customHeight="1" spans="1:6">
      <c r="A2038" s="9" t="str">
        <f>"10522106826"</f>
        <v>10522106826</v>
      </c>
      <c r="B2038" s="10">
        <v>0</v>
      </c>
      <c r="C2038" s="9"/>
      <c r="D2038" s="9">
        <f t="shared" si="31"/>
        <v>0</v>
      </c>
      <c r="E2038" s="11"/>
      <c r="F2038" s="9" t="s">
        <v>7</v>
      </c>
    </row>
    <row r="2039" s="1" customFormat="1" customHeight="1" spans="1:6">
      <c r="A2039" s="9" t="str">
        <f>"10132106827"</f>
        <v>10132106827</v>
      </c>
      <c r="B2039" s="10">
        <v>0</v>
      </c>
      <c r="C2039" s="9"/>
      <c r="D2039" s="9">
        <f t="shared" si="31"/>
        <v>0</v>
      </c>
      <c r="E2039" s="11"/>
      <c r="F2039" s="9" t="s">
        <v>7</v>
      </c>
    </row>
    <row r="2040" s="1" customFormat="1" customHeight="1" spans="1:6">
      <c r="A2040" s="9" t="str">
        <f>"10332106828"</f>
        <v>10332106828</v>
      </c>
      <c r="B2040" s="10">
        <v>40.09</v>
      </c>
      <c r="C2040" s="9"/>
      <c r="D2040" s="9">
        <f t="shared" si="31"/>
        <v>40.09</v>
      </c>
      <c r="E2040" s="11"/>
      <c r="F2040" s="9"/>
    </row>
    <row r="2041" s="1" customFormat="1" customHeight="1" spans="1:6">
      <c r="A2041" s="9" t="str">
        <f>"10532106829"</f>
        <v>10532106829</v>
      </c>
      <c r="B2041" s="10">
        <v>34.42</v>
      </c>
      <c r="C2041" s="9"/>
      <c r="D2041" s="9">
        <f t="shared" si="31"/>
        <v>34.42</v>
      </c>
      <c r="E2041" s="11"/>
      <c r="F2041" s="9"/>
    </row>
    <row r="2042" s="1" customFormat="1" customHeight="1" spans="1:6">
      <c r="A2042" s="9" t="str">
        <f>"10232106830"</f>
        <v>10232106830</v>
      </c>
      <c r="B2042" s="10">
        <v>40.15</v>
      </c>
      <c r="C2042" s="9"/>
      <c r="D2042" s="9">
        <f t="shared" si="31"/>
        <v>40.15</v>
      </c>
      <c r="E2042" s="11"/>
      <c r="F2042" s="9"/>
    </row>
    <row r="2043" s="1" customFormat="1" customHeight="1" spans="1:6">
      <c r="A2043" s="9" t="str">
        <f>"10362106901"</f>
        <v>10362106901</v>
      </c>
      <c r="B2043" s="10">
        <v>36.08</v>
      </c>
      <c r="C2043" s="9"/>
      <c r="D2043" s="9">
        <f t="shared" si="31"/>
        <v>36.08</v>
      </c>
      <c r="E2043" s="11"/>
      <c r="F2043" s="9"/>
    </row>
    <row r="2044" s="1" customFormat="1" customHeight="1" spans="1:6">
      <c r="A2044" s="9" t="str">
        <f>"10062106902"</f>
        <v>10062106902</v>
      </c>
      <c r="B2044" s="10">
        <v>32.54</v>
      </c>
      <c r="C2044" s="9"/>
      <c r="D2044" s="9">
        <f t="shared" si="31"/>
        <v>32.54</v>
      </c>
      <c r="E2044" s="11"/>
      <c r="F2044" s="9"/>
    </row>
    <row r="2045" s="1" customFormat="1" customHeight="1" spans="1:6">
      <c r="A2045" s="9" t="str">
        <f>"10362106903"</f>
        <v>10362106903</v>
      </c>
      <c r="B2045" s="10">
        <v>48.82</v>
      </c>
      <c r="C2045" s="9"/>
      <c r="D2045" s="9">
        <f t="shared" si="31"/>
        <v>48.82</v>
      </c>
      <c r="E2045" s="11"/>
      <c r="F2045" s="9"/>
    </row>
    <row r="2046" s="1" customFormat="1" customHeight="1" spans="1:6">
      <c r="A2046" s="9" t="str">
        <f>"10102106904"</f>
        <v>10102106904</v>
      </c>
      <c r="B2046" s="10">
        <v>0</v>
      </c>
      <c r="C2046" s="9"/>
      <c r="D2046" s="9">
        <f t="shared" si="31"/>
        <v>0</v>
      </c>
      <c r="E2046" s="11"/>
      <c r="F2046" s="9" t="s">
        <v>7</v>
      </c>
    </row>
    <row r="2047" s="1" customFormat="1" customHeight="1" spans="1:6">
      <c r="A2047" s="9" t="str">
        <f>"10062106905"</f>
        <v>10062106905</v>
      </c>
      <c r="B2047" s="10">
        <v>53</v>
      </c>
      <c r="C2047" s="9"/>
      <c r="D2047" s="9">
        <f t="shared" si="31"/>
        <v>53</v>
      </c>
      <c r="E2047" s="11"/>
      <c r="F2047" s="9"/>
    </row>
    <row r="2048" s="1" customFormat="1" customHeight="1" spans="1:6">
      <c r="A2048" s="9" t="str">
        <f>"10362106906"</f>
        <v>10362106906</v>
      </c>
      <c r="B2048" s="10">
        <v>0</v>
      </c>
      <c r="C2048" s="9"/>
      <c r="D2048" s="9">
        <f t="shared" si="31"/>
        <v>0</v>
      </c>
      <c r="E2048" s="11"/>
      <c r="F2048" s="9" t="s">
        <v>7</v>
      </c>
    </row>
    <row r="2049" s="1" customFormat="1" customHeight="1" spans="1:6">
      <c r="A2049" s="9" t="str">
        <f>"10362106907"</f>
        <v>10362106907</v>
      </c>
      <c r="B2049" s="10">
        <v>0</v>
      </c>
      <c r="C2049" s="9"/>
      <c r="D2049" s="9">
        <f t="shared" si="31"/>
        <v>0</v>
      </c>
      <c r="E2049" s="11"/>
      <c r="F2049" s="9" t="s">
        <v>7</v>
      </c>
    </row>
    <row r="2050" s="1" customFormat="1" customHeight="1" spans="1:6">
      <c r="A2050" s="9" t="str">
        <f>"10362106908"</f>
        <v>10362106908</v>
      </c>
      <c r="B2050" s="10">
        <v>0</v>
      </c>
      <c r="C2050" s="9"/>
      <c r="D2050" s="9">
        <f t="shared" si="31"/>
        <v>0</v>
      </c>
      <c r="E2050" s="11"/>
      <c r="F2050" s="9" t="s">
        <v>7</v>
      </c>
    </row>
    <row r="2051" s="1" customFormat="1" customHeight="1" spans="1:6">
      <c r="A2051" s="9" t="str">
        <f>"10362106909"</f>
        <v>10362106909</v>
      </c>
      <c r="B2051" s="10">
        <v>50.96</v>
      </c>
      <c r="C2051" s="9"/>
      <c r="D2051" s="9">
        <f t="shared" ref="D2051:D2114" si="32">SUM(B2051:C2051)</f>
        <v>50.96</v>
      </c>
      <c r="E2051" s="11"/>
      <c r="F2051" s="9"/>
    </row>
    <row r="2052" s="1" customFormat="1" customHeight="1" spans="1:6">
      <c r="A2052" s="9" t="str">
        <f>"10232106910"</f>
        <v>10232106910</v>
      </c>
      <c r="B2052" s="10">
        <v>48.22</v>
      </c>
      <c r="C2052" s="9">
        <v>10</v>
      </c>
      <c r="D2052" s="9">
        <f t="shared" si="32"/>
        <v>58.22</v>
      </c>
      <c r="E2052" s="12" t="s">
        <v>8</v>
      </c>
      <c r="F2052" s="9"/>
    </row>
    <row r="2053" s="1" customFormat="1" customHeight="1" spans="1:6">
      <c r="A2053" s="9" t="str">
        <f>"10112106911"</f>
        <v>10112106911</v>
      </c>
      <c r="B2053" s="10">
        <v>30.97</v>
      </c>
      <c r="C2053" s="9"/>
      <c r="D2053" s="9">
        <f t="shared" si="32"/>
        <v>30.97</v>
      </c>
      <c r="E2053" s="11"/>
      <c r="F2053" s="9"/>
    </row>
    <row r="2054" s="1" customFormat="1" customHeight="1" spans="1:6">
      <c r="A2054" s="9" t="str">
        <f>"20272106912"</f>
        <v>20272106912</v>
      </c>
      <c r="B2054" s="10">
        <v>42.32</v>
      </c>
      <c r="C2054" s="9"/>
      <c r="D2054" s="9">
        <f t="shared" si="32"/>
        <v>42.32</v>
      </c>
      <c r="E2054" s="11"/>
      <c r="F2054" s="9"/>
    </row>
    <row r="2055" s="1" customFormat="1" customHeight="1" spans="1:6">
      <c r="A2055" s="9" t="str">
        <f>"10322106913"</f>
        <v>10322106913</v>
      </c>
      <c r="B2055" s="10">
        <v>35.11</v>
      </c>
      <c r="C2055" s="9"/>
      <c r="D2055" s="9">
        <f t="shared" si="32"/>
        <v>35.11</v>
      </c>
      <c r="E2055" s="11"/>
      <c r="F2055" s="9"/>
    </row>
    <row r="2056" s="1" customFormat="1" customHeight="1" spans="1:6">
      <c r="A2056" s="9" t="str">
        <f>"10212106914"</f>
        <v>10212106914</v>
      </c>
      <c r="B2056" s="10">
        <v>0</v>
      </c>
      <c r="C2056" s="9"/>
      <c r="D2056" s="9">
        <f t="shared" si="32"/>
        <v>0</v>
      </c>
      <c r="E2056" s="11"/>
      <c r="F2056" s="9" t="s">
        <v>7</v>
      </c>
    </row>
    <row r="2057" s="1" customFormat="1" customHeight="1" spans="1:6">
      <c r="A2057" s="9" t="str">
        <f>"10442106915"</f>
        <v>10442106915</v>
      </c>
      <c r="B2057" s="10">
        <v>39.52</v>
      </c>
      <c r="C2057" s="9"/>
      <c r="D2057" s="9">
        <f t="shared" si="32"/>
        <v>39.52</v>
      </c>
      <c r="E2057" s="11"/>
      <c r="F2057" s="9"/>
    </row>
    <row r="2058" s="1" customFormat="1" customHeight="1" spans="1:6">
      <c r="A2058" s="9" t="str">
        <f>"10522106916"</f>
        <v>10522106916</v>
      </c>
      <c r="B2058" s="10">
        <v>46.29</v>
      </c>
      <c r="C2058" s="9"/>
      <c r="D2058" s="9">
        <f t="shared" si="32"/>
        <v>46.29</v>
      </c>
      <c r="E2058" s="11"/>
      <c r="F2058" s="9"/>
    </row>
    <row r="2059" s="1" customFormat="1" customHeight="1" spans="1:6">
      <c r="A2059" s="9" t="str">
        <f>"10302106917"</f>
        <v>10302106917</v>
      </c>
      <c r="B2059" s="10">
        <v>0</v>
      </c>
      <c r="C2059" s="9"/>
      <c r="D2059" s="9">
        <f t="shared" si="32"/>
        <v>0</v>
      </c>
      <c r="E2059" s="11"/>
      <c r="F2059" s="9" t="s">
        <v>7</v>
      </c>
    </row>
    <row r="2060" s="1" customFormat="1" customHeight="1" spans="1:6">
      <c r="A2060" s="9" t="str">
        <f>"10082106918"</f>
        <v>10082106918</v>
      </c>
      <c r="B2060" s="10">
        <v>39.81</v>
      </c>
      <c r="C2060" s="9"/>
      <c r="D2060" s="9">
        <f t="shared" si="32"/>
        <v>39.81</v>
      </c>
      <c r="E2060" s="11"/>
      <c r="F2060" s="9"/>
    </row>
    <row r="2061" s="1" customFormat="1" customHeight="1" spans="1:6">
      <c r="A2061" s="9" t="str">
        <f>"10362106919"</f>
        <v>10362106919</v>
      </c>
      <c r="B2061" s="10">
        <v>0</v>
      </c>
      <c r="C2061" s="9"/>
      <c r="D2061" s="9">
        <f t="shared" si="32"/>
        <v>0</v>
      </c>
      <c r="E2061" s="11"/>
      <c r="F2061" s="9" t="s">
        <v>7</v>
      </c>
    </row>
    <row r="2062" s="1" customFormat="1" customHeight="1" spans="1:6">
      <c r="A2062" s="9" t="str">
        <f>"10092106920"</f>
        <v>10092106920</v>
      </c>
      <c r="B2062" s="10">
        <v>43.57</v>
      </c>
      <c r="C2062" s="9"/>
      <c r="D2062" s="9">
        <f t="shared" si="32"/>
        <v>43.57</v>
      </c>
      <c r="E2062" s="11"/>
      <c r="F2062" s="9"/>
    </row>
    <row r="2063" s="1" customFormat="1" customHeight="1" spans="1:6">
      <c r="A2063" s="9" t="str">
        <f>"10462106921"</f>
        <v>10462106921</v>
      </c>
      <c r="B2063" s="10">
        <v>45.15</v>
      </c>
      <c r="C2063" s="9"/>
      <c r="D2063" s="9">
        <f t="shared" si="32"/>
        <v>45.15</v>
      </c>
      <c r="E2063" s="11"/>
      <c r="F2063" s="9"/>
    </row>
    <row r="2064" s="1" customFormat="1" customHeight="1" spans="1:6">
      <c r="A2064" s="9" t="str">
        <f>"10332106922"</f>
        <v>10332106922</v>
      </c>
      <c r="B2064" s="10">
        <v>39.55</v>
      </c>
      <c r="C2064" s="9"/>
      <c r="D2064" s="9">
        <f t="shared" si="32"/>
        <v>39.55</v>
      </c>
      <c r="E2064" s="11"/>
      <c r="F2064" s="9"/>
    </row>
    <row r="2065" s="1" customFormat="1" customHeight="1" spans="1:6">
      <c r="A2065" s="9" t="str">
        <f>"10362106923"</f>
        <v>10362106923</v>
      </c>
      <c r="B2065" s="10">
        <v>44.55</v>
      </c>
      <c r="C2065" s="9"/>
      <c r="D2065" s="9">
        <f t="shared" si="32"/>
        <v>44.55</v>
      </c>
      <c r="E2065" s="11"/>
      <c r="F2065" s="9"/>
    </row>
    <row r="2066" s="1" customFormat="1" customHeight="1" spans="1:6">
      <c r="A2066" s="9" t="str">
        <f>"10132106924"</f>
        <v>10132106924</v>
      </c>
      <c r="B2066" s="10">
        <v>44.92</v>
      </c>
      <c r="C2066" s="9"/>
      <c r="D2066" s="9">
        <f t="shared" si="32"/>
        <v>44.92</v>
      </c>
      <c r="E2066" s="11"/>
      <c r="F2066" s="9"/>
    </row>
    <row r="2067" s="1" customFormat="1" customHeight="1" spans="1:6">
      <c r="A2067" s="9" t="str">
        <f>"10532106925"</f>
        <v>10532106925</v>
      </c>
      <c r="B2067" s="10">
        <v>70.71</v>
      </c>
      <c r="C2067" s="9">
        <v>10</v>
      </c>
      <c r="D2067" s="9">
        <f t="shared" si="32"/>
        <v>80.71</v>
      </c>
      <c r="E2067" s="12" t="s">
        <v>8</v>
      </c>
      <c r="F2067" s="9"/>
    </row>
    <row r="2068" s="1" customFormat="1" customHeight="1" spans="1:6">
      <c r="A2068" s="9" t="str">
        <f>"10332106926"</f>
        <v>10332106926</v>
      </c>
      <c r="B2068" s="10">
        <v>49.12</v>
      </c>
      <c r="C2068" s="9"/>
      <c r="D2068" s="9">
        <f t="shared" si="32"/>
        <v>49.12</v>
      </c>
      <c r="E2068" s="11"/>
      <c r="F2068" s="9"/>
    </row>
    <row r="2069" s="1" customFormat="1" customHeight="1" spans="1:6">
      <c r="A2069" s="9" t="str">
        <f>"10332106927"</f>
        <v>10332106927</v>
      </c>
      <c r="B2069" s="10">
        <v>33.23</v>
      </c>
      <c r="C2069" s="9"/>
      <c r="D2069" s="9">
        <f t="shared" si="32"/>
        <v>33.23</v>
      </c>
      <c r="E2069" s="11"/>
      <c r="F2069" s="9"/>
    </row>
    <row r="2070" s="1" customFormat="1" customHeight="1" spans="1:6">
      <c r="A2070" s="9" t="str">
        <f>"10342106928"</f>
        <v>10342106928</v>
      </c>
      <c r="B2070" s="10">
        <v>42.23</v>
      </c>
      <c r="C2070" s="9"/>
      <c r="D2070" s="9">
        <f t="shared" si="32"/>
        <v>42.23</v>
      </c>
      <c r="E2070" s="11"/>
      <c r="F2070" s="9"/>
    </row>
    <row r="2071" s="1" customFormat="1" customHeight="1" spans="1:6">
      <c r="A2071" s="9" t="str">
        <f>"10132106929"</f>
        <v>10132106929</v>
      </c>
      <c r="B2071" s="10">
        <v>0</v>
      </c>
      <c r="C2071" s="9"/>
      <c r="D2071" s="9">
        <f t="shared" si="32"/>
        <v>0</v>
      </c>
      <c r="E2071" s="11"/>
      <c r="F2071" s="9" t="s">
        <v>7</v>
      </c>
    </row>
    <row r="2072" s="1" customFormat="1" customHeight="1" spans="1:6">
      <c r="A2072" s="9" t="str">
        <f>"10232106930"</f>
        <v>10232106930</v>
      </c>
      <c r="B2072" s="10">
        <v>33.65</v>
      </c>
      <c r="C2072" s="9"/>
      <c r="D2072" s="9">
        <f t="shared" si="32"/>
        <v>33.65</v>
      </c>
      <c r="E2072" s="11"/>
      <c r="F2072" s="9"/>
    </row>
    <row r="2073" s="1" customFormat="1" customHeight="1" spans="1:6">
      <c r="A2073" s="9" t="str">
        <f>"10362107001"</f>
        <v>10362107001</v>
      </c>
      <c r="B2073" s="10">
        <v>36.81</v>
      </c>
      <c r="C2073" s="9"/>
      <c r="D2073" s="9">
        <f t="shared" si="32"/>
        <v>36.81</v>
      </c>
      <c r="E2073" s="11"/>
      <c r="F2073" s="9"/>
    </row>
    <row r="2074" s="1" customFormat="1" customHeight="1" spans="1:6">
      <c r="A2074" s="9" t="str">
        <f>"10402107002"</f>
        <v>10402107002</v>
      </c>
      <c r="B2074" s="10">
        <v>45.42</v>
      </c>
      <c r="C2074" s="9"/>
      <c r="D2074" s="9">
        <f t="shared" si="32"/>
        <v>45.42</v>
      </c>
      <c r="E2074" s="11"/>
      <c r="F2074" s="9"/>
    </row>
    <row r="2075" s="1" customFormat="1" customHeight="1" spans="1:6">
      <c r="A2075" s="9" t="str">
        <f>"10172107003"</f>
        <v>10172107003</v>
      </c>
      <c r="B2075" s="10">
        <v>0</v>
      </c>
      <c r="C2075" s="9"/>
      <c r="D2075" s="9">
        <f t="shared" si="32"/>
        <v>0</v>
      </c>
      <c r="E2075" s="11"/>
      <c r="F2075" s="9" t="s">
        <v>7</v>
      </c>
    </row>
    <row r="2076" s="1" customFormat="1" customHeight="1" spans="1:6">
      <c r="A2076" s="9" t="str">
        <f>"10362107004"</f>
        <v>10362107004</v>
      </c>
      <c r="B2076" s="10">
        <v>38.25</v>
      </c>
      <c r="C2076" s="9"/>
      <c r="D2076" s="9">
        <f t="shared" si="32"/>
        <v>38.25</v>
      </c>
      <c r="E2076" s="11"/>
      <c r="F2076" s="9"/>
    </row>
    <row r="2077" s="1" customFormat="1" customHeight="1" spans="1:6">
      <c r="A2077" s="9" t="str">
        <f>"10022107005"</f>
        <v>10022107005</v>
      </c>
      <c r="B2077" s="10">
        <v>0</v>
      </c>
      <c r="C2077" s="9"/>
      <c r="D2077" s="9">
        <f t="shared" si="32"/>
        <v>0</v>
      </c>
      <c r="E2077" s="11"/>
      <c r="F2077" s="9" t="s">
        <v>7</v>
      </c>
    </row>
    <row r="2078" s="1" customFormat="1" customHeight="1" spans="1:6">
      <c r="A2078" s="9" t="str">
        <f>"10532107006"</f>
        <v>10532107006</v>
      </c>
      <c r="B2078" s="10">
        <v>35.04</v>
      </c>
      <c r="C2078" s="9"/>
      <c r="D2078" s="9">
        <f t="shared" si="32"/>
        <v>35.04</v>
      </c>
      <c r="E2078" s="11"/>
      <c r="F2078" s="9"/>
    </row>
    <row r="2079" s="1" customFormat="1" customHeight="1" spans="1:6">
      <c r="A2079" s="9" t="str">
        <f>"10362107007"</f>
        <v>10362107007</v>
      </c>
      <c r="B2079" s="10">
        <v>47.79</v>
      </c>
      <c r="C2079" s="9"/>
      <c r="D2079" s="9">
        <f t="shared" si="32"/>
        <v>47.79</v>
      </c>
      <c r="E2079" s="11"/>
      <c r="F2079" s="9"/>
    </row>
    <row r="2080" s="1" customFormat="1" customHeight="1" spans="1:6">
      <c r="A2080" s="9" t="str">
        <f>"10172107008"</f>
        <v>10172107008</v>
      </c>
      <c r="B2080" s="10">
        <v>42.66</v>
      </c>
      <c r="C2080" s="9"/>
      <c r="D2080" s="9">
        <f t="shared" si="32"/>
        <v>42.66</v>
      </c>
      <c r="E2080" s="11"/>
      <c r="F2080" s="9"/>
    </row>
    <row r="2081" s="1" customFormat="1" customHeight="1" spans="1:6">
      <c r="A2081" s="9" t="str">
        <f>"10012107009"</f>
        <v>10012107009</v>
      </c>
      <c r="B2081" s="10">
        <v>38.68</v>
      </c>
      <c r="C2081" s="9"/>
      <c r="D2081" s="9">
        <f t="shared" si="32"/>
        <v>38.68</v>
      </c>
      <c r="E2081" s="11"/>
      <c r="F2081" s="9"/>
    </row>
    <row r="2082" s="1" customFormat="1" customHeight="1" spans="1:6">
      <c r="A2082" s="9" t="str">
        <f>"10362107010"</f>
        <v>10362107010</v>
      </c>
      <c r="B2082" s="10">
        <v>43.41</v>
      </c>
      <c r="C2082" s="9"/>
      <c r="D2082" s="9">
        <f t="shared" si="32"/>
        <v>43.41</v>
      </c>
      <c r="E2082" s="11"/>
      <c r="F2082" s="9"/>
    </row>
    <row r="2083" s="1" customFormat="1" customHeight="1" spans="1:6">
      <c r="A2083" s="9" t="str">
        <f>"10062107011"</f>
        <v>10062107011</v>
      </c>
      <c r="B2083" s="10">
        <v>0</v>
      </c>
      <c r="C2083" s="9"/>
      <c r="D2083" s="9">
        <f t="shared" si="32"/>
        <v>0</v>
      </c>
      <c r="E2083" s="11"/>
      <c r="F2083" s="9" t="s">
        <v>7</v>
      </c>
    </row>
    <row r="2084" s="1" customFormat="1" customHeight="1" spans="1:6">
      <c r="A2084" s="9" t="str">
        <f>"10362107012"</f>
        <v>10362107012</v>
      </c>
      <c r="B2084" s="10">
        <v>49.83</v>
      </c>
      <c r="C2084" s="9"/>
      <c r="D2084" s="9">
        <f t="shared" si="32"/>
        <v>49.83</v>
      </c>
      <c r="E2084" s="11"/>
      <c r="F2084" s="9"/>
    </row>
    <row r="2085" s="1" customFormat="1" customHeight="1" spans="1:6">
      <c r="A2085" s="9" t="str">
        <f>"10512107013"</f>
        <v>10512107013</v>
      </c>
      <c r="B2085" s="10">
        <v>41.16</v>
      </c>
      <c r="C2085" s="9"/>
      <c r="D2085" s="9">
        <f t="shared" si="32"/>
        <v>41.16</v>
      </c>
      <c r="E2085" s="11"/>
      <c r="F2085" s="9"/>
    </row>
    <row r="2086" s="1" customFormat="1" customHeight="1" spans="1:6">
      <c r="A2086" s="9" t="str">
        <f>"10242107014"</f>
        <v>10242107014</v>
      </c>
      <c r="B2086" s="10">
        <v>46.7</v>
      </c>
      <c r="C2086" s="9"/>
      <c r="D2086" s="9">
        <f t="shared" si="32"/>
        <v>46.7</v>
      </c>
      <c r="E2086" s="11"/>
      <c r="F2086" s="9"/>
    </row>
    <row r="2087" s="1" customFormat="1" customHeight="1" spans="1:6">
      <c r="A2087" s="9" t="str">
        <f>"10522107015"</f>
        <v>10522107015</v>
      </c>
      <c r="B2087" s="10">
        <v>42.1</v>
      </c>
      <c r="C2087" s="9"/>
      <c r="D2087" s="9">
        <f t="shared" si="32"/>
        <v>42.1</v>
      </c>
      <c r="E2087" s="11"/>
      <c r="F2087" s="9"/>
    </row>
    <row r="2088" s="1" customFormat="1" customHeight="1" spans="1:6">
      <c r="A2088" s="9" t="str">
        <f>"10362107016"</f>
        <v>10362107016</v>
      </c>
      <c r="B2088" s="10">
        <v>43.77</v>
      </c>
      <c r="C2088" s="9"/>
      <c r="D2088" s="9">
        <f t="shared" si="32"/>
        <v>43.77</v>
      </c>
      <c r="E2088" s="11"/>
      <c r="F2088" s="9"/>
    </row>
    <row r="2089" s="1" customFormat="1" customHeight="1" spans="1:6">
      <c r="A2089" s="9" t="str">
        <f>"10362107017"</f>
        <v>10362107017</v>
      </c>
      <c r="B2089" s="10">
        <v>0</v>
      </c>
      <c r="C2089" s="9"/>
      <c r="D2089" s="9">
        <f t="shared" si="32"/>
        <v>0</v>
      </c>
      <c r="E2089" s="11"/>
      <c r="F2089" s="9" t="s">
        <v>7</v>
      </c>
    </row>
    <row r="2090" s="1" customFormat="1" customHeight="1" spans="1:6">
      <c r="A2090" s="9" t="str">
        <f>"10382107018"</f>
        <v>10382107018</v>
      </c>
      <c r="B2090" s="10">
        <v>43.78</v>
      </c>
      <c r="C2090" s="9"/>
      <c r="D2090" s="9">
        <f t="shared" si="32"/>
        <v>43.78</v>
      </c>
      <c r="E2090" s="11"/>
      <c r="F2090" s="9"/>
    </row>
    <row r="2091" s="1" customFormat="1" customHeight="1" spans="1:6">
      <c r="A2091" s="9" t="str">
        <f>"10102107019"</f>
        <v>10102107019</v>
      </c>
      <c r="B2091" s="10">
        <v>45.89</v>
      </c>
      <c r="C2091" s="9"/>
      <c r="D2091" s="9">
        <f t="shared" si="32"/>
        <v>45.89</v>
      </c>
      <c r="E2091" s="11"/>
      <c r="F2091" s="9"/>
    </row>
    <row r="2092" s="1" customFormat="1" customHeight="1" spans="1:6">
      <c r="A2092" s="9" t="str">
        <f>"10362107020"</f>
        <v>10362107020</v>
      </c>
      <c r="B2092" s="10">
        <v>0</v>
      </c>
      <c r="C2092" s="9"/>
      <c r="D2092" s="9">
        <f t="shared" si="32"/>
        <v>0</v>
      </c>
      <c r="E2092" s="11"/>
      <c r="F2092" s="9" t="s">
        <v>7</v>
      </c>
    </row>
    <row r="2093" s="1" customFormat="1" customHeight="1" spans="1:6">
      <c r="A2093" s="9" t="str">
        <f>"10362107021"</f>
        <v>10362107021</v>
      </c>
      <c r="B2093" s="10">
        <v>43.28</v>
      </c>
      <c r="C2093" s="9"/>
      <c r="D2093" s="9">
        <f t="shared" si="32"/>
        <v>43.28</v>
      </c>
      <c r="E2093" s="11"/>
      <c r="F2093" s="9"/>
    </row>
    <row r="2094" s="1" customFormat="1" customHeight="1" spans="1:6">
      <c r="A2094" s="9" t="str">
        <f>"10042107022"</f>
        <v>10042107022</v>
      </c>
      <c r="B2094" s="10">
        <v>46.66</v>
      </c>
      <c r="C2094" s="9"/>
      <c r="D2094" s="9">
        <f t="shared" si="32"/>
        <v>46.66</v>
      </c>
      <c r="E2094" s="11"/>
      <c r="F2094" s="9"/>
    </row>
    <row r="2095" s="1" customFormat="1" customHeight="1" spans="1:6">
      <c r="A2095" s="9" t="str">
        <f>"10362107023"</f>
        <v>10362107023</v>
      </c>
      <c r="B2095" s="10">
        <v>47.98</v>
      </c>
      <c r="C2095" s="9"/>
      <c r="D2095" s="9">
        <f t="shared" si="32"/>
        <v>47.98</v>
      </c>
      <c r="E2095" s="11"/>
      <c r="F2095" s="9"/>
    </row>
    <row r="2096" s="1" customFormat="1" customHeight="1" spans="1:6">
      <c r="A2096" s="9" t="str">
        <f>"10102107024"</f>
        <v>10102107024</v>
      </c>
      <c r="B2096" s="10">
        <v>44.33</v>
      </c>
      <c r="C2096" s="9"/>
      <c r="D2096" s="9">
        <f t="shared" si="32"/>
        <v>44.33</v>
      </c>
      <c r="E2096" s="11"/>
      <c r="F2096" s="9"/>
    </row>
    <row r="2097" s="1" customFormat="1" customHeight="1" spans="1:6">
      <c r="A2097" s="9" t="str">
        <f>"20272107025"</f>
        <v>20272107025</v>
      </c>
      <c r="B2097" s="10">
        <v>0</v>
      </c>
      <c r="C2097" s="9"/>
      <c r="D2097" s="9">
        <f t="shared" si="32"/>
        <v>0</v>
      </c>
      <c r="E2097" s="11"/>
      <c r="F2097" s="9" t="s">
        <v>7</v>
      </c>
    </row>
    <row r="2098" s="1" customFormat="1" customHeight="1" spans="1:6">
      <c r="A2098" s="9" t="str">
        <f>"10112107026"</f>
        <v>10112107026</v>
      </c>
      <c r="B2098" s="10">
        <v>35.02</v>
      </c>
      <c r="C2098" s="9"/>
      <c r="D2098" s="9">
        <f t="shared" si="32"/>
        <v>35.02</v>
      </c>
      <c r="E2098" s="11"/>
      <c r="F2098" s="9"/>
    </row>
    <row r="2099" s="1" customFormat="1" customHeight="1" spans="1:6">
      <c r="A2099" s="9" t="str">
        <f>"10092107027"</f>
        <v>10092107027</v>
      </c>
      <c r="B2099" s="10">
        <v>48.53</v>
      </c>
      <c r="C2099" s="9"/>
      <c r="D2099" s="9">
        <f t="shared" si="32"/>
        <v>48.53</v>
      </c>
      <c r="E2099" s="11"/>
      <c r="F2099" s="9"/>
    </row>
    <row r="2100" s="1" customFormat="1" customHeight="1" spans="1:6">
      <c r="A2100" s="9" t="str">
        <f>"10412107028"</f>
        <v>10412107028</v>
      </c>
      <c r="B2100" s="10">
        <v>46.67</v>
      </c>
      <c r="C2100" s="9"/>
      <c r="D2100" s="9">
        <f t="shared" si="32"/>
        <v>46.67</v>
      </c>
      <c r="E2100" s="11"/>
      <c r="F2100" s="9"/>
    </row>
    <row r="2101" s="1" customFormat="1" customHeight="1" spans="1:6">
      <c r="A2101" s="9" t="str">
        <f>"10362107029"</f>
        <v>10362107029</v>
      </c>
      <c r="B2101" s="10">
        <v>0</v>
      </c>
      <c r="C2101" s="9"/>
      <c r="D2101" s="9">
        <f t="shared" si="32"/>
        <v>0</v>
      </c>
      <c r="E2101" s="11"/>
      <c r="F2101" s="9" t="s">
        <v>7</v>
      </c>
    </row>
    <row r="2102" s="1" customFormat="1" customHeight="1" spans="1:6">
      <c r="A2102" s="9" t="str">
        <f>"10462107030"</f>
        <v>10462107030</v>
      </c>
      <c r="B2102" s="10">
        <v>40.29</v>
      </c>
      <c r="C2102" s="9"/>
      <c r="D2102" s="9">
        <f t="shared" si="32"/>
        <v>40.29</v>
      </c>
      <c r="E2102" s="11"/>
      <c r="F2102" s="9"/>
    </row>
    <row r="2103" s="1" customFormat="1" customHeight="1" spans="1:6">
      <c r="A2103" s="9" t="str">
        <f>"10532107101"</f>
        <v>10532107101</v>
      </c>
      <c r="B2103" s="10">
        <v>0</v>
      </c>
      <c r="C2103" s="9"/>
      <c r="D2103" s="9">
        <f t="shared" si="32"/>
        <v>0</v>
      </c>
      <c r="E2103" s="11"/>
      <c r="F2103" s="9" t="s">
        <v>7</v>
      </c>
    </row>
    <row r="2104" s="1" customFormat="1" customHeight="1" spans="1:6">
      <c r="A2104" s="9" t="str">
        <f>"10332107102"</f>
        <v>10332107102</v>
      </c>
      <c r="B2104" s="10">
        <v>0</v>
      </c>
      <c r="C2104" s="9"/>
      <c r="D2104" s="9">
        <f t="shared" si="32"/>
        <v>0</v>
      </c>
      <c r="E2104" s="11"/>
      <c r="F2104" s="9" t="s">
        <v>7</v>
      </c>
    </row>
    <row r="2105" s="1" customFormat="1" customHeight="1" spans="1:6">
      <c r="A2105" s="9" t="str">
        <f>"10532107103"</f>
        <v>10532107103</v>
      </c>
      <c r="B2105" s="10">
        <v>40.91</v>
      </c>
      <c r="C2105" s="9"/>
      <c r="D2105" s="9">
        <f t="shared" si="32"/>
        <v>40.91</v>
      </c>
      <c r="E2105" s="11"/>
      <c r="F2105" s="9"/>
    </row>
    <row r="2106" s="1" customFormat="1" customHeight="1" spans="1:6">
      <c r="A2106" s="9" t="str">
        <f>"10472107104"</f>
        <v>10472107104</v>
      </c>
      <c r="B2106" s="10">
        <v>47.22</v>
      </c>
      <c r="C2106" s="9"/>
      <c r="D2106" s="9">
        <f t="shared" si="32"/>
        <v>47.22</v>
      </c>
      <c r="E2106" s="11"/>
      <c r="F2106" s="9"/>
    </row>
    <row r="2107" s="1" customFormat="1" customHeight="1" spans="1:6">
      <c r="A2107" s="9" t="str">
        <f>"10382107105"</f>
        <v>10382107105</v>
      </c>
      <c r="B2107" s="10">
        <v>38.79</v>
      </c>
      <c r="C2107" s="9"/>
      <c r="D2107" s="9">
        <f t="shared" si="32"/>
        <v>38.79</v>
      </c>
      <c r="E2107" s="11"/>
      <c r="F2107" s="9"/>
    </row>
    <row r="2108" s="1" customFormat="1" customHeight="1" spans="1:6">
      <c r="A2108" s="9" t="str">
        <f>"10532107106"</f>
        <v>10532107106</v>
      </c>
      <c r="B2108" s="10">
        <v>34.58</v>
      </c>
      <c r="C2108" s="9"/>
      <c r="D2108" s="9">
        <f t="shared" si="32"/>
        <v>34.58</v>
      </c>
      <c r="E2108" s="11"/>
      <c r="F2108" s="9"/>
    </row>
    <row r="2109" s="1" customFormat="1" customHeight="1" spans="1:6">
      <c r="A2109" s="9" t="str">
        <f>"10362107107"</f>
        <v>10362107107</v>
      </c>
      <c r="B2109" s="10">
        <v>40.81</v>
      </c>
      <c r="C2109" s="9"/>
      <c r="D2109" s="9">
        <f t="shared" si="32"/>
        <v>40.81</v>
      </c>
      <c r="E2109" s="11"/>
      <c r="F2109" s="9"/>
    </row>
    <row r="2110" s="1" customFormat="1" customHeight="1" spans="1:6">
      <c r="A2110" s="9" t="str">
        <f>"10102107108"</f>
        <v>10102107108</v>
      </c>
      <c r="B2110" s="10">
        <v>37.67</v>
      </c>
      <c r="C2110" s="9"/>
      <c r="D2110" s="9">
        <f t="shared" si="32"/>
        <v>37.67</v>
      </c>
      <c r="E2110" s="11"/>
      <c r="F2110" s="9"/>
    </row>
    <row r="2111" s="1" customFormat="1" customHeight="1" spans="1:6">
      <c r="A2111" s="9" t="str">
        <f>"10362107109"</f>
        <v>10362107109</v>
      </c>
      <c r="B2111" s="10">
        <v>37.33</v>
      </c>
      <c r="C2111" s="9"/>
      <c r="D2111" s="9">
        <f t="shared" si="32"/>
        <v>37.33</v>
      </c>
      <c r="E2111" s="11"/>
      <c r="F2111" s="9"/>
    </row>
    <row r="2112" s="1" customFormat="1" customHeight="1" spans="1:6">
      <c r="A2112" s="9" t="str">
        <f>"10362107110"</f>
        <v>10362107110</v>
      </c>
      <c r="B2112" s="10">
        <v>38.11</v>
      </c>
      <c r="C2112" s="9"/>
      <c r="D2112" s="9">
        <f t="shared" si="32"/>
        <v>38.11</v>
      </c>
      <c r="E2112" s="11"/>
      <c r="F2112" s="9"/>
    </row>
    <row r="2113" s="1" customFormat="1" customHeight="1" spans="1:6">
      <c r="A2113" s="9" t="str">
        <f>"10362107111"</f>
        <v>10362107111</v>
      </c>
      <c r="B2113" s="10">
        <v>0</v>
      </c>
      <c r="C2113" s="9"/>
      <c r="D2113" s="9">
        <f t="shared" si="32"/>
        <v>0</v>
      </c>
      <c r="E2113" s="11"/>
      <c r="F2113" s="9" t="s">
        <v>7</v>
      </c>
    </row>
    <row r="2114" s="1" customFormat="1" customHeight="1" spans="1:6">
      <c r="A2114" s="9" t="str">
        <f>"10362107112"</f>
        <v>10362107112</v>
      </c>
      <c r="B2114" s="10">
        <v>40.11</v>
      </c>
      <c r="C2114" s="9"/>
      <c r="D2114" s="9">
        <f t="shared" si="32"/>
        <v>40.11</v>
      </c>
      <c r="E2114" s="11"/>
      <c r="F2114" s="9"/>
    </row>
    <row r="2115" s="1" customFormat="1" customHeight="1" spans="1:6">
      <c r="A2115" s="9" t="str">
        <f>"10362107113"</f>
        <v>10362107113</v>
      </c>
      <c r="B2115" s="10">
        <v>37.91</v>
      </c>
      <c r="C2115" s="9"/>
      <c r="D2115" s="9">
        <f t="shared" ref="D2115:D2178" si="33">SUM(B2115:C2115)</f>
        <v>37.91</v>
      </c>
      <c r="E2115" s="11"/>
      <c r="F2115" s="9"/>
    </row>
    <row r="2116" s="1" customFormat="1" customHeight="1" spans="1:6">
      <c r="A2116" s="9" t="str">
        <f>"10112107114"</f>
        <v>10112107114</v>
      </c>
      <c r="B2116" s="10">
        <v>45.23</v>
      </c>
      <c r="C2116" s="9"/>
      <c r="D2116" s="9">
        <f t="shared" si="33"/>
        <v>45.23</v>
      </c>
      <c r="E2116" s="11"/>
      <c r="F2116" s="9"/>
    </row>
    <row r="2117" s="1" customFormat="1" customHeight="1" spans="1:6">
      <c r="A2117" s="9" t="str">
        <f>"10022107115"</f>
        <v>10022107115</v>
      </c>
      <c r="B2117" s="10">
        <v>0</v>
      </c>
      <c r="C2117" s="9"/>
      <c r="D2117" s="9">
        <f t="shared" si="33"/>
        <v>0</v>
      </c>
      <c r="E2117" s="11"/>
      <c r="F2117" s="9" t="s">
        <v>7</v>
      </c>
    </row>
    <row r="2118" s="1" customFormat="1" customHeight="1" spans="1:6">
      <c r="A2118" s="9" t="str">
        <f>"10322107116"</f>
        <v>10322107116</v>
      </c>
      <c r="B2118" s="10">
        <v>45.98</v>
      </c>
      <c r="C2118" s="9"/>
      <c r="D2118" s="9">
        <f t="shared" si="33"/>
        <v>45.98</v>
      </c>
      <c r="E2118" s="11"/>
      <c r="F2118" s="9"/>
    </row>
    <row r="2119" s="1" customFormat="1" customHeight="1" spans="1:6">
      <c r="A2119" s="9" t="str">
        <f>"10362107117"</f>
        <v>10362107117</v>
      </c>
      <c r="B2119" s="10">
        <v>0</v>
      </c>
      <c r="C2119" s="9">
        <v>10</v>
      </c>
      <c r="D2119" s="9">
        <f t="shared" si="33"/>
        <v>10</v>
      </c>
      <c r="E2119" s="12" t="s">
        <v>8</v>
      </c>
      <c r="F2119" s="9" t="s">
        <v>7</v>
      </c>
    </row>
    <row r="2120" s="1" customFormat="1" customHeight="1" spans="1:6">
      <c r="A2120" s="9" t="str">
        <f>"10522107118"</f>
        <v>10522107118</v>
      </c>
      <c r="B2120" s="10">
        <v>36.5</v>
      </c>
      <c r="C2120" s="9"/>
      <c r="D2120" s="9">
        <f t="shared" si="33"/>
        <v>36.5</v>
      </c>
      <c r="E2120" s="11"/>
      <c r="F2120" s="9"/>
    </row>
    <row r="2121" s="1" customFormat="1" customHeight="1" spans="1:6">
      <c r="A2121" s="9" t="str">
        <f>"10062107119"</f>
        <v>10062107119</v>
      </c>
      <c r="B2121" s="10">
        <v>0</v>
      </c>
      <c r="C2121" s="9"/>
      <c r="D2121" s="9">
        <f t="shared" si="33"/>
        <v>0</v>
      </c>
      <c r="E2121" s="11"/>
      <c r="F2121" s="9" t="s">
        <v>7</v>
      </c>
    </row>
    <row r="2122" s="1" customFormat="1" customHeight="1" spans="1:6">
      <c r="A2122" s="9" t="str">
        <f>"10202107120"</f>
        <v>10202107120</v>
      </c>
      <c r="B2122" s="10">
        <v>34.47</v>
      </c>
      <c r="C2122" s="9"/>
      <c r="D2122" s="9">
        <f t="shared" si="33"/>
        <v>34.47</v>
      </c>
      <c r="E2122" s="11"/>
      <c r="F2122" s="9"/>
    </row>
    <row r="2123" s="1" customFormat="1" customHeight="1" spans="1:6">
      <c r="A2123" s="9" t="str">
        <f>"10362107121"</f>
        <v>10362107121</v>
      </c>
      <c r="B2123" s="10">
        <v>39.05</v>
      </c>
      <c r="C2123" s="9"/>
      <c r="D2123" s="9">
        <f t="shared" si="33"/>
        <v>39.05</v>
      </c>
      <c r="E2123" s="11"/>
      <c r="F2123" s="9"/>
    </row>
    <row r="2124" s="1" customFormat="1" customHeight="1" spans="1:6">
      <c r="A2124" s="9" t="str">
        <f>"10412107122"</f>
        <v>10412107122</v>
      </c>
      <c r="B2124" s="10">
        <v>41.03</v>
      </c>
      <c r="C2124" s="9"/>
      <c r="D2124" s="9">
        <f t="shared" si="33"/>
        <v>41.03</v>
      </c>
      <c r="E2124" s="11"/>
      <c r="F2124" s="9"/>
    </row>
    <row r="2125" s="1" customFormat="1" customHeight="1" spans="1:6">
      <c r="A2125" s="9" t="str">
        <f>"10532107123"</f>
        <v>10532107123</v>
      </c>
      <c r="B2125" s="10">
        <v>52.17</v>
      </c>
      <c r="C2125" s="9"/>
      <c r="D2125" s="9">
        <f t="shared" si="33"/>
        <v>52.17</v>
      </c>
      <c r="E2125" s="11"/>
      <c r="F2125" s="9"/>
    </row>
    <row r="2126" s="1" customFormat="1" customHeight="1" spans="1:6">
      <c r="A2126" s="9" t="str">
        <f>"20182107124"</f>
        <v>20182107124</v>
      </c>
      <c r="B2126" s="10">
        <v>20.88</v>
      </c>
      <c r="C2126" s="9"/>
      <c r="D2126" s="9">
        <f t="shared" si="33"/>
        <v>20.88</v>
      </c>
      <c r="E2126" s="11"/>
      <c r="F2126" s="9"/>
    </row>
    <row r="2127" s="1" customFormat="1" customHeight="1" spans="1:6">
      <c r="A2127" s="9" t="str">
        <f>"10312107125"</f>
        <v>10312107125</v>
      </c>
      <c r="B2127" s="10">
        <v>37.1</v>
      </c>
      <c r="C2127" s="9"/>
      <c r="D2127" s="9">
        <f t="shared" si="33"/>
        <v>37.1</v>
      </c>
      <c r="E2127" s="11"/>
      <c r="F2127" s="9"/>
    </row>
    <row r="2128" s="1" customFormat="1" customHeight="1" spans="1:6">
      <c r="A2128" s="9" t="str">
        <f>"10302107126"</f>
        <v>10302107126</v>
      </c>
      <c r="B2128" s="10">
        <v>0</v>
      </c>
      <c r="C2128" s="9"/>
      <c r="D2128" s="9">
        <f t="shared" si="33"/>
        <v>0</v>
      </c>
      <c r="E2128" s="11"/>
      <c r="F2128" s="9" t="s">
        <v>7</v>
      </c>
    </row>
    <row r="2129" s="1" customFormat="1" customHeight="1" spans="1:6">
      <c r="A2129" s="9" t="str">
        <f>"10362107127"</f>
        <v>10362107127</v>
      </c>
      <c r="B2129" s="10">
        <v>31.58</v>
      </c>
      <c r="C2129" s="9"/>
      <c r="D2129" s="9">
        <f t="shared" si="33"/>
        <v>31.58</v>
      </c>
      <c r="E2129" s="11"/>
      <c r="F2129" s="9"/>
    </row>
    <row r="2130" s="1" customFormat="1" customHeight="1" spans="1:6">
      <c r="A2130" s="9" t="str">
        <f>"10532107128"</f>
        <v>10532107128</v>
      </c>
      <c r="B2130" s="10">
        <v>0</v>
      </c>
      <c r="C2130" s="9"/>
      <c r="D2130" s="9">
        <f t="shared" si="33"/>
        <v>0</v>
      </c>
      <c r="E2130" s="11"/>
      <c r="F2130" s="9" t="s">
        <v>7</v>
      </c>
    </row>
    <row r="2131" s="1" customFormat="1" customHeight="1" spans="1:6">
      <c r="A2131" s="9" t="str">
        <f>"10242107129"</f>
        <v>10242107129</v>
      </c>
      <c r="B2131" s="10">
        <v>42.75</v>
      </c>
      <c r="C2131" s="9"/>
      <c r="D2131" s="9">
        <f t="shared" si="33"/>
        <v>42.75</v>
      </c>
      <c r="E2131" s="11"/>
      <c r="F2131" s="9"/>
    </row>
    <row r="2132" s="1" customFormat="1" customHeight="1" spans="1:6">
      <c r="A2132" s="9" t="str">
        <f>"10272107130"</f>
        <v>10272107130</v>
      </c>
      <c r="B2132" s="10">
        <v>49.83</v>
      </c>
      <c r="C2132" s="9"/>
      <c r="D2132" s="9">
        <f t="shared" si="33"/>
        <v>49.83</v>
      </c>
      <c r="E2132" s="11"/>
      <c r="F2132" s="9"/>
    </row>
    <row r="2133" s="1" customFormat="1" customHeight="1" spans="1:6">
      <c r="A2133" s="9" t="str">
        <f>"10292107201"</f>
        <v>10292107201</v>
      </c>
      <c r="B2133" s="10">
        <v>0</v>
      </c>
      <c r="C2133" s="9"/>
      <c r="D2133" s="9">
        <f t="shared" si="33"/>
        <v>0</v>
      </c>
      <c r="E2133" s="11"/>
      <c r="F2133" s="9" t="s">
        <v>7</v>
      </c>
    </row>
    <row r="2134" s="1" customFormat="1" customHeight="1" spans="1:6">
      <c r="A2134" s="9" t="str">
        <f>"10362107202"</f>
        <v>10362107202</v>
      </c>
      <c r="B2134" s="10">
        <v>35.35</v>
      </c>
      <c r="C2134" s="9"/>
      <c r="D2134" s="9">
        <f t="shared" si="33"/>
        <v>35.35</v>
      </c>
      <c r="E2134" s="11"/>
      <c r="F2134" s="9"/>
    </row>
    <row r="2135" s="1" customFormat="1" customHeight="1" spans="1:6">
      <c r="A2135" s="9" t="str">
        <f>"10162107203"</f>
        <v>10162107203</v>
      </c>
      <c r="B2135" s="10">
        <v>36.67</v>
      </c>
      <c r="C2135" s="9"/>
      <c r="D2135" s="9">
        <f t="shared" si="33"/>
        <v>36.67</v>
      </c>
      <c r="E2135" s="11"/>
      <c r="F2135" s="9"/>
    </row>
    <row r="2136" s="1" customFormat="1" customHeight="1" spans="1:6">
      <c r="A2136" s="9" t="str">
        <f>"10192107204"</f>
        <v>10192107204</v>
      </c>
      <c r="B2136" s="10">
        <v>0</v>
      </c>
      <c r="C2136" s="9"/>
      <c r="D2136" s="9">
        <f t="shared" si="33"/>
        <v>0</v>
      </c>
      <c r="E2136" s="11"/>
      <c r="F2136" s="9" t="s">
        <v>7</v>
      </c>
    </row>
    <row r="2137" s="1" customFormat="1" customHeight="1" spans="1:6">
      <c r="A2137" s="9" t="str">
        <f>"10132107205"</f>
        <v>10132107205</v>
      </c>
      <c r="B2137" s="10">
        <v>44.87</v>
      </c>
      <c r="C2137" s="9"/>
      <c r="D2137" s="9">
        <f t="shared" si="33"/>
        <v>44.87</v>
      </c>
      <c r="E2137" s="11"/>
      <c r="F2137" s="9"/>
    </row>
    <row r="2138" s="1" customFormat="1" customHeight="1" spans="1:6">
      <c r="A2138" s="9" t="str">
        <f>"10362107206"</f>
        <v>10362107206</v>
      </c>
      <c r="B2138" s="10">
        <v>36.9</v>
      </c>
      <c r="C2138" s="9"/>
      <c r="D2138" s="9">
        <f t="shared" si="33"/>
        <v>36.9</v>
      </c>
      <c r="E2138" s="11"/>
      <c r="F2138" s="9"/>
    </row>
    <row r="2139" s="1" customFormat="1" customHeight="1" spans="1:6">
      <c r="A2139" s="9" t="str">
        <f>"10362107207"</f>
        <v>10362107207</v>
      </c>
      <c r="B2139" s="10">
        <v>0</v>
      </c>
      <c r="C2139" s="9"/>
      <c r="D2139" s="9">
        <f t="shared" si="33"/>
        <v>0</v>
      </c>
      <c r="E2139" s="11"/>
      <c r="F2139" s="9" t="s">
        <v>7</v>
      </c>
    </row>
    <row r="2140" s="1" customFormat="1" customHeight="1" spans="1:6">
      <c r="A2140" s="9" t="str">
        <f>"10132107208"</f>
        <v>10132107208</v>
      </c>
      <c r="B2140" s="10">
        <v>42.48</v>
      </c>
      <c r="C2140" s="9"/>
      <c r="D2140" s="9">
        <f t="shared" si="33"/>
        <v>42.48</v>
      </c>
      <c r="E2140" s="11"/>
      <c r="F2140" s="9"/>
    </row>
    <row r="2141" s="1" customFormat="1" customHeight="1" spans="1:6">
      <c r="A2141" s="9" t="str">
        <f>"10012107209"</f>
        <v>10012107209</v>
      </c>
      <c r="B2141" s="10">
        <v>35.64</v>
      </c>
      <c r="C2141" s="9"/>
      <c r="D2141" s="9">
        <f t="shared" si="33"/>
        <v>35.64</v>
      </c>
      <c r="E2141" s="11"/>
      <c r="F2141" s="9"/>
    </row>
    <row r="2142" s="1" customFormat="1" customHeight="1" spans="1:6">
      <c r="A2142" s="9" t="str">
        <f>"10332107210"</f>
        <v>10332107210</v>
      </c>
      <c r="B2142" s="10">
        <v>34.63</v>
      </c>
      <c r="C2142" s="9"/>
      <c r="D2142" s="9">
        <f t="shared" si="33"/>
        <v>34.63</v>
      </c>
      <c r="E2142" s="11"/>
      <c r="F2142" s="9"/>
    </row>
    <row r="2143" s="1" customFormat="1" customHeight="1" spans="1:6">
      <c r="A2143" s="9" t="str">
        <f>"10102107211"</f>
        <v>10102107211</v>
      </c>
      <c r="B2143" s="10">
        <v>38.98</v>
      </c>
      <c r="C2143" s="9"/>
      <c r="D2143" s="9">
        <f t="shared" si="33"/>
        <v>38.98</v>
      </c>
      <c r="E2143" s="11"/>
      <c r="F2143" s="9"/>
    </row>
    <row r="2144" s="1" customFormat="1" customHeight="1" spans="1:6">
      <c r="A2144" s="9" t="str">
        <f>"20182107212"</f>
        <v>20182107212</v>
      </c>
      <c r="B2144" s="10">
        <v>35.6</v>
      </c>
      <c r="C2144" s="9"/>
      <c r="D2144" s="9">
        <f t="shared" si="33"/>
        <v>35.6</v>
      </c>
      <c r="E2144" s="11"/>
      <c r="F2144" s="9"/>
    </row>
    <row r="2145" s="1" customFormat="1" customHeight="1" spans="1:6">
      <c r="A2145" s="9" t="str">
        <f>"10092107213"</f>
        <v>10092107213</v>
      </c>
      <c r="B2145" s="10">
        <v>42.42</v>
      </c>
      <c r="C2145" s="9"/>
      <c r="D2145" s="9">
        <f t="shared" si="33"/>
        <v>42.42</v>
      </c>
      <c r="E2145" s="11"/>
      <c r="F2145" s="9"/>
    </row>
    <row r="2146" s="1" customFormat="1" customHeight="1" spans="1:6">
      <c r="A2146" s="9" t="str">
        <f>"10142107214"</f>
        <v>10142107214</v>
      </c>
      <c r="B2146" s="10">
        <v>42.9</v>
      </c>
      <c r="C2146" s="9"/>
      <c r="D2146" s="9">
        <f t="shared" si="33"/>
        <v>42.9</v>
      </c>
      <c r="E2146" s="11"/>
      <c r="F2146" s="9"/>
    </row>
    <row r="2147" s="1" customFormat="1" customHeight="1" spans="1:6">
      <c r="A2147" s="9" t="str">
        <f>"10362107215"</f>
        <v>10362107215</v>
      </c>
      <c r="B2147" s="10">
        <v>0</v>
      </c>
      <c r="C2147" s="9"/>
      <c r="D2147" s="9">
        <f t="shared" si="33"/>
        <v>0</v>
      </c>
      <c r="E2147" s="11"/>
      <c r="F2147" s="9" t="s">
        <v>7</v>
      </c>
    </row>
    <row r="2148" s="1" customFormat="1" customHeight="1" spans="1:6">
      <c r="A2148" s="9" t="str">
        <f>"10362107216"</f>
        <v>10362107216</v>
      </c>
      <c r="B2148" s="10">
        <v>45.04</v>
      </c>
      <c r="C2148" s="9"/>
      <c r="D2148" s="9">
        <f t="shared" si="33"/>
        <v>45.04</v>
      </c>
      <c r="E2148" s="11"/>
      <c r="F2148" s="9"/>
    </row>
    <row r="2149" s="1" customFormat="1" customHeight="1" spans="1:6">
      <c r="A2149" s="9" t="str">
        <f>"10362107217"</f>
        <v>10362107217</v>
      </c>
      <c r="B2149" s="10">
        <v>0</v>
      </c>
      <c r="C2149" s="9"/>
      <c r="D2149" s="9">
        <f t="shared" si="33"/>
        <v>0</v>
      </c>
      <c r="E2149" s="11"/>
      <c r="F2149" s="9" t="s">
        <v>7</v>
      </c>
    </row>
    <row r="2150" s="1" customFormat="1" customHeight="1" spans="1:6">
      <c r="A2150" s="9" t="str">
        <f>"10532107218"</f>
        <v>10532107218</v>
      </c>
      <c r="B2150" s="10">
        <v>33.5</v>
      </c>
      <c r="C2150" s="9">
        <v>10</v>
      </c>
      <c r="D2150" s="9">
        <f t="shared" si="33"/>
        <v>43.5</v>
      </c>
      <c r="E2150" s="12" t="s">
        <v>8</v>
      </c>
      <c r="F2150" s="9"/>
    </row>
    <row r="2151" s="1" customFormat="1" customHeight="1" spans="1:6">
      <c r="A2151" s="9" t="str">
        <f>"10072107219"</f>
        <v>10072107219</v>
      </c>
      <c r="B2151" s="10">
        <v>0</v>
      </c>
      <c r="C2151" s="9"/>
      <c r="D2151" s="9">
        <f t="shared" si="33"/>
        <v>0</v>
      </c>
      <c r="E2151" s="11"/>
      <c r="F2151" s="9" t="s">
        <v>7</v>
      </c>
    </row>
    <row r="2152" s="1" customFormat="1" customHeight="1" spans="1:6">
      <c r="A2152" s="9" t="str">
        <f>"10102107220"</f>
        <v>10102107220</v>
      </c>
      <c r="B2152" s="10">
        <v>50.75</v>
      </c>
      <c r="C2152" s="9"/>
      <c r="D2152" s="9">
        <f t="shared" si="33"/>
        <v>50.75</v>
      </c>
      <c r="E2152" s="11"/>
      <c r="F2152" s="9"/>
    </row>
    <row r="2153" s="1" customFormat="1" customHeight="1" spans="1:6">
      <c r="A2153" s="9" t="str">
        <f>"10522107221"</f>
        <v>10522107221</v>
      </c>
      <c r="B2153" s="10">
        <v>56.62</v>
      </c>
      <c r="C2153" s="9"/>
      <c r="D2153" s="9">
        <f t="shared" si="33"/>
        <v>56.62</v>
      </c>
      <c r="E2153" s="11"/>
      <c r="F2153" s="9"/>
    </row>
    <row r="2154" s="1" customFormat="1" customHeight="1" spans="1:6">
      <c r="A2154" s="9" t="str">
        <f>"10332107222"</f>
        <v>10332107222</v>
      </c>
      <c r="B2154" s="10">
        <v>39.08</v>
      </c>
      <c r="C2154" s="9"/>
      <c r="D2154" s="9">
        <f t="shared" si="33"/>
        <v>39.08</v>
      </c>
      <c r="E2154" s="11"/>
      <c r="F2154" s="9"/>
    </row>
    <row r="2155" s="1" customFormat="1" customHeight="1" spans="1:6">
      <c r="A2155" s="9" t="str">
        <f>"10532107223"</f>
        <v>10532107223</v>
      </c>
      <c r="B2155" s="10">
        <v>36.77</v>
      </c>
      <c r="C2155" s="9"/>
      <c r="D2155" s="9">
        <f t="shared" si="33"/>
        <v>36.77</v>
      </c>
      <c r="E2155" s="11"/>
      <c r="F2155" s="9"/>
    </row>
    <row r="2156" s="1" customFormat="1" customHeight="1" spans="1:6">
      <c r="A2156" s="9" t="str">
        <f>"10282107224"</f>
        <v>10282107224</v>
      </c>
      <c r="B2156" s="10">
        <v>49</v>
      </c>
      <c r="C2156" s="9"/>
      <c r="D2156" s="9">
        <f t="shared" si="33"/>
        <v>49</v>
      </c>
      <c r="E2156" s="11"/>
      <c r="F2156" s="9"/>
    </row>
    <row r="2157" s="1" customFormat="1" customHeight="1" spans="1:6">
      <c r="A2157" s="9" t="str">
        <f>"10352107225"</f>
        <v>10352107225</v>
      </c>
      <c r="B2157" s="10">
        <v>37.21</v>
      </c>
      <c r="C2157" s="9"/>
      <c r="D2157" s="9">
        <f t="shared" si="33"/>
        <v>37.21</v>
      </c>
      <c r="E2157" s="11"/>
      <c r="F2157" s="9"/>
    </row>
    <row r="2158" s="1" customFormat="1" customHeight="1" spans="1:6">
      <c r="A2158" s="9" t="str">
        <f>"10212107226"</f>
        <v>10212107226</v>
      </c>
      <c r="B2158" s="10">
        <v>40.56</v>
      </c>
      <c r="C2158" s="9"/>
      <c r="D2158" s="9">
        <f t="shared" si="33"/>
        <v>40.56</v>
      </c>
      <c r="E2158" s="11"/>
      <c r="F2158" s="9"/>
    </row>
    <row r="2159" s="1" customFormat="1" customHeight="1" spans="1:6">
      <c r="A2159" s="9" t="str">
        <f>"10112107227"</f>
        <v>10112107227</v>
      </c>
      <c r="B2159" s="10">
        <v>43.79</v>
      </c>
      <c r="C2159" s="9"/>
      <c r="D2159" s="9">
        <f t="shared" si="33"/>
        <v>43.79</v>
      </c>
      <c r="E2159" s="11"/>
      <c r="F2159" s="9"/>
    </row>
    <row r="2160" s="1" customFormat="1" customHeight="1" spans="1:6">
      <c r="A2160" s="9" t="str">
        <f>"10092107228"</f>
        <v>10092107228</v>
      </c>
      <c r="B2160" s="10">
        <v>45.32</v>
      </c>
      <c r="C2160" s="9"/>
      <c r="D2160" s="9">
        <f t="shared" si="33"/>
        <v>45.32</v>
      </c>
      <c r="E2160" s="11"/>
      <c r="F2160" s="9"/>
    </row>
    <row r="2161" s="1" customFormat="1" customHeight="1" spans="1:6">
      <c r="A2161" s="9" t="str">
        <f>"10532107229"</f>
        <v>10532107229</v>
      </c>
      <c r="B2161" s="10">
        <v>0</v>
      </c>
      <c r="C2161" s="9"/>
      <c r="D2161" s="9">
        <f t="shared" si="33"/>
        <v>0</v>
      </c>
      <c r="E2161" s="11"/>
      <c r="F2161" s="9" t="s">
        <v>7</v>
      </c>
    </row>
    <row r="2162" s="1" customFormat="1" customHeight="1" spans="1:6">
      <c r="A2162" s="9" t="str">
        <f>"10362107230"</f>
        <v>10362107230</v>
      </c>
      <c r="B2162" s="10">
        <v>41.64</v>
      </c>
      <c r="C2162" s="9"/>
      <c r="D2162" s="9">
        <f t="shared" si="33"/>
        <v>41.64</v>
      </c>
      <c r="E2162" s="11"/>
      <c r="F2162" s="9"/>
    </row>
    <row r="2163" s="1" customFormat="1" customHeight="1" spans="1:6">
      <c r="A2163" s="9" t="str">
        <f>"10362107301"</f>
        <v>10362107301</v>
      </c>
      <c r="B2163" s="10">
        <v>42.61</v>
      </c>
      <c r="C2163" s="9"/>
      <c r="D2163" s="9">
        <f t="shared" si="33"/>
        <v>42.61</v>
      </c>
      <c r="E2163" s="11"/>
      <c r="F2163" s="9"/>
    </row>
    <row r="2164" s="1" customFormat="1" customHeight="1" spans="1:6">
      <c r="A2164" s="9" t="str">
        <f>"10362107302"</f>
        <v>10362107302</v>
      </c>
      <c r="B2164" s="10">
        <v>40.75</v>
      </c>
      <c r="C2164" s="9">
        <v>10</v>
      </c>
      <c r="D2164" s="9">
        <f t="shared" si="33"/>
        <v>50.75</v>
      </c>
      <c r="E2164" s="12" t="s">
        <v>8</v>
      </c>
      <c r="F2164" s="9"/>
    </row>
    <row r="2165" s="1" customFormat="1" customHeight="1" spans="1:6">
      <c r="A2165" s="9" t="str">
        <f>"10172107303"</f>
        <v>10172107303</v>
      </c>
      <c r="B2165" s="10">
        <v>47.11</v>
      </c>
      <c r="C2165" s="9"/>
      <c r="D2165" s="9">
        <f t="shared" si="33"/>
        <v>47.11</v>
      </c>
      <c r="E2165" s="11"/>
      <c r="F2165" s="9"/>
    </row>
    <row r="2166" s="1" customFormat="1" customHeight="1" spans="1:6">
      <c r="A2166" s="9" t="str">
        <f>"10362107304"</f>
        <v>10362107304</v>
      </c>
      <c r="B2166" s="10">
        <v>43.03</v>
      </c>
      <c r="C2166" s="9"/>
      <c r="D2166" s="9">
        <f t="shared" si="33"/>
        <v>43.03</v>
      </c>
      <c r="E2166" s="11"/>
      <c r="F2166" s="9"/>
    </row>
    <row r="2167" s="1" customFormat="1" customHeight="1" spans="1:6">
      <c r="A2167" s="9" t="str">
        <f>"10532107305"</f>
        <v>10532107305</v>
      </c>
      <c r="B2167" s="10">
        <v>34.16</v>
      </c>
      <c r="C2167" s="9"/>
      <c r="D2167" s="9">
        <f t="shared" si="33"/>
        <v>34.16</v>
      </c>
      <c r="E2167" s="11"/>
      <c r="F2167" s="9"/>
    </row>
    <row r="2168" s="1" customFormat="1" customHeight="1" spans="1:6">
      <c r="A2168" s="9" t="str">
        <f>"10522107306"</f>
        <v>10522107306</v>
      </c>
      <c r="B2168" s="10">
        <v>0</v>
      </c>
      <c r="C2168" s="9"/>
      <c r="D2168" s="9">
        <f t="shared" si="33"/>
        <v>0</v>
      </c>
      <c r="E2168" s="11"/>
      <c r="F2168" s="9" t="s">
        <v>7</v>
      </c>
    </row>
    <row r="2169" s="1" customFormat="1" customHeight="1" spans="1:6">
      <c r="A2169" s="9" t="str">
        <f>"10512107307"</f>
        <v>10512107307</v>
      </c>
      <c r="B2169" s="10">
        <v>49.58</v>
      </c>
      <c r="C2169" s="9"/>
      <c r="D2169" s="9">
        <f t="shared" si="33"/>
        <v>49.58</v>
      </c>
      <c r="E2169" s="11"/>
      <c r="F2169" s="9"/>
    </row>
    <row r="2170" s="1" customFormat="1" customHeight="1" spans="1:6">
      <c r="A2170" s="9" t="str">
        <f>"10362107308"</f>
        <v>10362107308</v>
      </c>
      <c r="B2170" s="10">
        <v>0</v>
      </c>
      <c r="C2170" s="9"/>
      <c r="D2170" s="9">
        <f t="shared" si="33"/>
        <v>0</v>
      </c>
      <c r="E2170" s="11"/>
      <c r="F2170" s="9" t="s">
        <v>7</v>
      </c>
    </row>
    <row r="2171" s="1" customFormat="1" customHeight="1" spans="1:6">
      <c r="A2171" s="9" t="str">
        <f>"10172107309"</f>
        <v>10172107309</v>
      </c>
      <c r="B2171" s="10">
        <v>42.34</v>
      </c>
      <c r="C2171" s="9"/>
      <c r="D2171" s="9">
        <f t="shared" si="33"/>
        <v>42.34</v>
      </c>
      <c r="E2171" s="11"/>
      <c r="F2171" s="9"/>
    </row>
    <row r="2172" s="1" customFormat="1" customHeight="1" spans="1:6">
      <c r="A2172" s="9" t="str">
        <f>"10082107310"</f>
        <v>10082107310</v>
      </c>
      <c r="B2172" s="10">
        <v>42.7</v>
      </c>
      <c r="C2172" s="9"/>
      <c r="D2172" s="9">
        <f t="shared" si="33"/>
        <v>42.7</v>
      </c>
      <c r="E2172" s="11"/>
      <c r="F2172" s="9"/>
    </row>
    <row r="2173" s="1" customFormat="1" customHeight="1" spans="1:6">
      <c r="A2173" s="9" t="str">
        <f>"10362107311"</f>
        <v>10362107311</v>
      </c>
      <c r="B2173" s="10">
        <v>0</v>
      </c>
      <c r="C2173" s="9"/>
      <c r="D2173" s="9">
        <f t="shared" si="33"/>
        <v>0</v>
      </c>
      <c r="E2173" s="11"/>
      <c r="F2173" s="9" t="s">
        <v>7</v>
      </c>
    </row>
    <row r="2174" s="1" customFormat="1" customHeight="1" spans="1:6">
      <c r="A2174" s="9" t="str">
        <f>"10242107312"</f>
        <v>10242107312</v>
      </c>
      <c r="B2174" s="10">
        <v>47.47</v>
      </c>
      <c r="C2174" s="9"/>
      <c r="D2174" s="9">
        <f t="shared" si="33"/>
        <v>47.47</v>
      </c>
      <c r="E2174" s="11"/>
      <c r="F2174" s="9"/>
    </row>
    <row r="2175" s="1" customFormat="1" customHeight="1" spans="1:6">
      <c r="A2175" s="9" t="str">
        <f>"10162107313"</f>
        <v>10162107313</v>
      </c>
      <c r="B2175" s="10">
        <v>39.76</v>
      </c>
      <c r="C2175" s="9"/>
      <c r="D2175" s="9">
        <f t="shared" si="33"/>
        <v>39.76</v>
      </c>
      <c r="E2175" s="11"/>
      <c r="F2175" s="9"/>
    </row>
    <row r="2176" s="1" customFormat="1" customHeight="1" spans="1:6">
      <c r="A2176" s="9" t="str">
        <f>"10382107314"</f>
        <v>10382107314</v>
      </c>
      <c r="B2176" s="10">
        <v>0</v>
      </c>
      <c r="C2176" s="9"/>
      <c r="D2176" s="9">
        <f t="shared" si="33"/>
        <v>0</v>
      </c>
      <c r="E2176" s="11"/>
      <c r="F2176" s="9" t="s">
        <v>7</v>
      </c>
    </row>
    <row r="2177" s="1" customFormat="1" customHeight="1" spans="1:6">
      <c r="A2177" s="9" t="str">
        <f>"10432107315"</f>
        <v>10432107315</v>
      </c>
      <c r="B2177" s="10">
        <v>48.9</v>
      </c>
      <c r="C2177" s="9"/>
      <c r="D2177" s="9">
        <f t="shared" si="33"/>
        <v>48.9</v>
      </c>
      <c r="E2177" s="11"/>
      <c r="F2177" s="9"/>
    </row>
    <row r="2178" s="1" customFormat="1" customHeight="1" spans="1:6">
      <c r="A2178" s="9" t="str">
        <f>"10022107316"</f>
        <v>10022107316</v>
      </c>
      <c r="B2178" s="10">
        <v>43.7</v>
      </c>
      <c r="C2178" s="9"/>
      <c r="D2178" s="9">
        <f t="shared" si="33"/>
        <v>43.7</v>
      </c>
      <c r="E2178" s="11"/>
      <c r="F2178" s="9"/>
    </row>
    <row r="2179" s="1" customFormat="1" customHeight="1" spans="1:6">
      <c r="A2179" s="9" t="str">
        <f>"10232107317"</f>
        <v>10232107317</v>
      </c>
      <c r="B2179" s="10">
        <v>0</v>
      </c>
      <c r="C2179" s="9"/>
      <c r="D2179" s="9">
        <f t="shared" ref="D2179:D2242" si="34">SUM(B2179:C2179)</f>
        <v>0</v>
      </c>
      <c r="E2179" s="11"/>
      <c r="F2179" s="9" t="s">
        <v>7</v>
      </c>
    </row>
    <row r="2180" s="1" customFormat="1" customHeight="1" spans="1:6">
      <c r="A2180" s="9" t="str">
        <f>"10362107318"</f>
        <v>10362107318</v>
      </c>
      <c r="B2180" s="10">
        <v>36.73</v>
      </c>
      <c r="C2180" s="9"/>
      <c r="D2180" s="9">
        <f t="shared" si="34"/>
        <v>36.73</v>
      </c>
      <c r="E2180" s="11"/>
      <c r="F2180" s="9"/>
    </row>
    <row r="2181" s="1" customFormat="1" customHeight="1" spans="1:6">
      <c r="A2181" s="9" t="str">
        <f>"10322107319"</f>
        <v>10322107319</v>
      </c>
      <c r="B2181" s="10">
        <v>0</v>
      </c>
      <c r="C2181" s="9"/>
      <c r="D2181" s="9">
        <f t="shared" si="34"/>
        <v>0</v>
      </c>
      <c r="E2181" s="11"/>
      <c r="F2181" s="9" t="s">
        <v>7</v>
      </c>
    </row>
    <row r="2182" s="1" customFormat="1" customHeight="1" spans="1:6">
      <c r="A2182" s="9" t="str">
        <f>"10362107320"</f>
        <v>10362107320</v>
      </c>
      <c r="B2182" s="10">
        <v>42.44</v>
      </c>
      <c r="C2182" s="9"/>
      <c r="D2182" s="9">
        <f t="shared" si="34"/>
        <v>42.44</v>
      </c>
      <c r="E2182" s="11"/>
      <c r="F2182" s="9"/>
    </row>
    <row r="2183" s="1" customFormat="1" customHeight="1" spans="1:6">
      <c r="A2183" s="9" t="str">
        <f>"10302107321"</f>
        <v>10302107321</v>
      </c>
      <c r="B2183" s="10">
        <v>47</v>
      </c>
      <c r="C2183" s="9"/>
      <c r="D2183" s="9">
        <f t="shared" si="34"/>
        <v>47</v>
      </c>
      <c r="E2183" s="11"/>
      <c r="F2183" s="9"/>
    </row>
    <row r="2184" s="1" customFormat="1" customHeight="1" spans="1:6">
      <c r="A2184" s="9" t="str">
        <f>"10412107322"</f>
        <v>10412107322</v>
      </c>
      <c r="B2184" s="10">
        <v>44.84</v>
      </c>
      <c r="C2184" s="9"/>
      <c r="D2184" s="9">
        <f t="shared" si="34"/>
        <v>44.84</v>
      </c>
      <c r="E2184" s="11"/>
      <c r="F2184" s="9"/>
    </row>
    <row r="2185" s="1" customFormat="1" customHeight="1" spans="1:6">
      <c r="A2185" s="9" t="str">
        <f>"10522107323"</f>
        <v>10522107323</v>
      </c>
      <c r="B2185" s="10">
        <v>50.41</v>
      </c>
      <c r="C2185" s="9"/>
      <c r="D2185" s="9">
        <f t="shared" si="34"/>
        <v>50.41</v>
      </c>
      <c r="E2185" s="11"/>
      <c r="F2185" s="9"/>
    </row>
    <row r="2186" s="1" customFormat="1" customHeight="1" spans="1:6">
      <c r="A2186" s="9" t="str">
        <f>"10212107324"</f>
        <v>10212107324</v>
      </c>
      <c r="B2186" s="10">
        <v>35.47</v>
      </c>
      <c r="C2186" s="9"/>
      <c r="D2186" s="9">
        <f t="shared" si="34"/>
        <v>35.47</v>
      </c>
      <c r="E2186" s="11"/>
      <c r="F2186" s="9"/>
    </row>
    <row r="2187" s="1" customFormat="1" customHeight="1" spans="1:6">
      <c r="A2187" s="9" t="str">
        <f>"10512107325"</f>
        <v>10512107325</v>
      </c>
      <c r="B2187" s="10">
        <v>60.43</v>
      </c>
      <c r="C2187" s="9"/>
      <c r="D2187" s="9">
        <f t="shared" si="34"/>
        <v>60.43</v>
      </c>
      <c r="E2187" s="11"/>
      <c r="F2187" s="9"/>
    </row>
    <row r="2188" s="1" customFormat="1" customHeight="1" spans="1:6">
      <c r="A2188" s="9" t="str">
        <f>"10082107326"</f>
        <v>10082107326</v>
      </c>
      <c r="B2188" s="10">
        <v>37.17</v>
      </c>
      <c r="C2188" s="9"/>
      <c r="D2188" s="9">
        <f t="shared" si="34"/>
        <v>37.17</v>
      </c>
      <c r="E2188" s="11"/>
      <c r="F2188" s="9"/>
    </row>
    <row r="2189" s="1" customFormat="1" customHeight="1" spans="1:6">
      <c r="A2189" s="9" t="str">
        <f>"10362107327"</f>
        <v>10362107327</v>
      </c>
      <c r="B2189" s="10">
        <v>0</v>
      </c>
      <c r="C2189" s="9"/>
      <c r="D2189" s="9">
        <f t="shared" si="34"/>
        <v>0</v>
      </c>
      <c r="E2189" s="11"/>
      <c r="F2189" s="9" t="s">
        <v>7</v>
      </c>
    </row>
    <row r="2190" s="1" customFormat="1" customHeight="1" spans="1:6">
      <c r="A2190" s="9" t="str">
        <f>"10362107328"</f>
        <v>10362107328</v>
      </c>
      <c r="B2190" s="10">
        <v>42.46</v>
      </c>
      <c r="C2190" s="9"/>
      <c r="D2190" s="9">
        <f t="shared" si="34"/>
        <v>42.46</v>
      </c>
      <c r="E2190" s="11"/>
      <c r="F2190" s="9"/>
    </row>
    <row r="2191" s="1" customFormat="1" customHeight="1" spans="1:6">
      <c r="A2191" s="9" t="str">
        <f>"10062107329"</f>
        <v>10062107329</v>
      </c>
      <c r="B2191" s="10">
        <v>40.86</v>
      </c>
      <c r="C2191" s="9"/>
      <c r="D2191" s="9">
        <f t="shared" si="34"/>
        <v>40.86</v>
      </c>
      <c r="E2191" s="11"/>
      <c r="F2191" s="9"/>
    </row>
    <row r="2192" s="1" customFormat="1" customHeight="1" spans="1:6">
      <c r="A2192" s="9" t="str">
        <f>"10212107330"</f>
        <v>10212107330</v>
      </c>
      <c r="B2192" s="10">
        <v>32.52</v>
      </c>
      <c r="C2192" s="9"/>
      <c r="D2192" s="9">
        <f t="shared" si="34"/>
        <v>32.52</v>
      </c>
      <c r="E2192" s="11"/>
      <c r="F2192" s="9"/>
    </row>
    <row r="2193" s="1" customFormat="1" customHeight="1" spans="1:6">
      <c r="A2193" s="9" t="str">
        <f>"10382107401"</f>
        <v>10382107401</v>
      </c>
      <c r="B2193" s="10">
        <v>42</v>
      </c>
      <c r="C2193" s="9"/>
      <c r="D2193" s="9">
        <f t="shared" si="34"/>
        <v>42</v>
      </c>
      <c r="E2193" s="11"/>
      <c r="F2193" s="9"/>
    </row>
    <row r="2194" s="1" customFormat="1" customHeight="1" spans="1:6">
      <c r="A2194" s="9" t="str">
        <f>"10282107402"</f>
        <v>10282107402</v>
      </c>
      <c r="B2194" s="10">
        <v>0</v>
      </c>
      <c r="C2194" s="9"/>
      <c r="D2194" s="9">
        <f t="shared" si="34"/>
        <v>0</v>
      </c>
      <c r="E2194" s="11"/>
      <c r="F2194" s="9" t="s">
        <v>7</v>
      </c>
    </row>
    <row r="2195" s="1" customFormat="1" customHeight="1" spans="1:6">
      <c r="A2195" s="9" t="str">
        <f>"10492107403"</f>
        <v>10492107403</v>
      </c>
      <c r="B2195" s="10">
        <v>0</v>
      </c>
      <c r="C2195" s="9"/>
      <c r="D2195" s="9">
        <f t="shared" si="34"/>
        <v>0</v>
      </c>
      <c r="E2195" s="11"/>
      <c r="F2195" s="9" t="s">
        <v>7</v>
      </c>
    </row>
    <row r="2196" s="1" customFormat="1" customHeight="1" spans="1:6">
      <c r="A2196" s="9" t="str">
        <f>"10022107404"</f>
        <v>10022107404</v>
      </c>
      <c r="B2196" s="10">
        <v>0</v>
      </c>
      <c r="C2196" s="9"/>
      <c r="D2196" s="9">
        <f t="shared" si="34"/>
        <v>0</v>
      </c>
      <c r="E2196" s="11"/>
      <c r="F2196" s="9" t="s">
        <v>7</v>
      </c>
    </row>
    <row r="2197" s="1" customFormat="1" customHeight="1" spans="1:6">
      <c r="A2197" s="9" t="str">
        <f>"10292107405"</f>
        <v>10292107405</v>
      </c>
      <c r="B2197" s="10">
        <v>46.7</v>
      </c>
      <c r="C2197" s="9"/>
      <c r="D2197" s="9">
        <f t="shared" si="34"/>
        <v>46.7</v>
      </c>
      <c r="E2197" s="11"/>
      <c r="F2197" s="9"/>
    </row>
    <row r="2198" s="1" customFormat="1" customHeight="1" spans="1:6">
      <c r="A2198" s="9" t="str">
        <f>"10352107406"</f>
        <v>10352107406</v>
      </c>
      <c r="B2198" s="10">
        <v>43.18</v>
      </c>
      <c r="C2198" s="9"/>
      <c r="D2198" s="9">
        <f t="shared" si="34"/>
        <v>43.18</v>
      </c>
      <c r="E2198" s="11"/>
      <c r="F2198" s="9"/>
    </row>
    <row r="2199" s="1" customFormat="1" customHeight="1" spans="1:6">
      <c r="A2199" s="9" t="str">
        <f>"10532107407"</f>
        <v>10532107407</v>
      </c>
      <c r="B2199" s="10">
        <v>0</v>
      </c>
      <c r="C2199" s="9"/>
      <c r="D2199" s="9">
        <f t="shared" si="34"/>
        <v>0</v>
      </c>
      <c r="E2199" s="11"/>
      <c r="F2199" s="9" t="s">
        <v>7</v>
      </c>
    </row>
    <row r="2200" s="1" customFormat="1" customHeight="1" spans="1:6">
      <c r="A2200" s="9" t="str">
        <f>"10422107408"</f>
        <v>10422107408</v>
      </c>
      <c r="B2200" s="10">
        <v>38.41</v>
      </c>
      <c r="C2200" s="9"/>
      <c r="D2200" s="9">
        <f t="shared" si="34"/>
        <v>38.41</v>
      </c>
      <c r="E2200" s="11"/>
      <c r="F2200" s="9"/>
    </row>
    <row r="2201" s="1" customFormat="1" customHeight="1" spans="1:6">
      <c r="A2201" s="9" t="str">
        <f>"10012107409"</f>
        <v>10012107409</v>
      </c>
      <c r="B2201" s="10">
        <v>74.37</v>
      </c>
      <c r="C2201" s="9"/>
      <c r="D2201" s="9">
        <f t="shared" si="34"/>
        <v>74.37</v>
      </c>
      <c r="E2201" s="11"/>
      <c r="F2201" s="9"/>
    </row>
    <row r="2202" s="1" customFormat="1" customHeight="1" spans="1:6">
      <c r="A2202" s="9" t="str">
        <f>"10342107410"</f>
        <v>10342107410</v>
      </c>
      <c r="B2202" s="10">
        <v>33.56</v>
      </c>
      <c r="C2202" s="9"/>
      <c r="D2202" s="9">
        <f t="shared" si="34"/>
        <v>33.56</v>
      </c>
      <c r="E2202" s="11"/>
      <c r="F2202" s="9"/>
    </row>
    <row r="2203" s="1" customFormat="1" customHeight="1" spans="1:6">
      <c r="A2203" s="9" t="str">
        <f>"10062107411"</f>
        <v>10062107411</v>
      </c>
      <c r="B2203" s="10">
        <v>50.28</v>
      </c>
      <c r="C2203" s="9"/>
      <c r="D2203" s="9">
        <f t="shared" si="34"/>
        <v>50.28</v>
      </c>
      <c r="E2203" s="11"/>
      <c r="F2203" s="9"/>
    </row>
    <row r="2204" s="1" customFormat="1" customHeight="1" spans="1:6">
      <c r="A2204" s="9" t="str">
        <f>"10512107412"</f>
        <v>10512107412</v>
      </c>
      <c r="B2204" s="10">
        <v>37.43</v>
      </c>
      <c r="C2204" s="9"/>
      <c r="D2204" s="9">
        <f t="shared" si="34"/>
        <v>37.43</v>
      </c>
      <c r="E2204" s="11"/>
      <c r="F2204" s="9"/>
    </row>
    <row r="2205" s="1" customFormat="1" customHeight="1" spans="1:6">
      <c r="A2205" s="9" t="str">
        <f>"10062107413"</f>
        <v>10062107413</v>
      </c>
      <c r="B2205" s="10">
        <v>36.77</v>
      </c>
      <c r="C2205" s="9"/>
      <c r="D2205" s="9">
        <f t="shared" si="34"/>
        <v>36.77</v>
      </c>
      <c r="E2205" s="11"/>
      <c r="F2205" s="9"/>
    </row>
    <row r="2206" s="1" customFormat="1" customHeight="1" spans="1:6">
      <c r="A2206" s="9" t="str">
        <f>"10512107414"</f>
        <v>10512107414</v>
      </c>
      <c r="B2206" s="10">
        <v>54.42</v>
      </c>
      <c r="C2206" s="9"/>
      <c r="D2206" s="9">
        <f t="shared" si="34"/>
        <v>54.42</v>
      </c>
      <c r="E2206" s="11"/>
      <c r="F2206" s="9"/>
    </row>
    <row r="2207" s="1" customFormat="1" customHeight="1" spans="1:6">
      <c r="A2207" s="9" t="str">
        <f>"10332107415"</f>
        <v>10332107415</v>
      </c>
      <c r="B2207" s="10">
        <v>32.75</v>
      </c>
      <c r="C2207" s="9"/>
      <c r="D2207" s="9">
        <f t="shared" si="34"/>
        <v>32.75</v>
      </c>
      <c r="E2207" s="11"/>
      <c r="F2207" s="9"/>
    </row>
    <row r="2208" s="1" customFormat="1" customHeight="1" spans="1:6">
      <c r="A2208" s="9" t="str">
        <f>"10382107416"</f>
        <v>10382107416</v>
      </c>
      <c r="B2208" s="10">
        <v>0</v>
      </c>
      <c r="C2208" s="9"/>
      <c r="D2208" s="9">
        <f t="shared" si="34"/>
        <v>0</v>
      </c>
      <c r="E2208" s="11"/>
      <c r="F2208" s="9" t="s">
        <v>7</v>
      </c>
    </row>
    <row r="2209" s="1" customFormat="1" customHeight="1" spans="1:6">
      <c r="A2209" s="9" t="str">
        <f>"10362107417"</f>
        <v>10362107417</v>
      </c>
      <c r="B2209" s="10">
        <v>0</v>
      </c>
      <c r="C2209" s="9"/>
      <c r="D2209" s="9">
        <f t="shared" si="34"/>
        <v>0</v>
      </c>
      <c r="E2209" s="11"/>
      <c r="F2209" s="9" t="s">
        <v>7</v>
      </c>
    </row>
    <row r="2210" s="1" customFormat="1" customHeight="1" spans="1:6">
      <c r="A2210" s="9" t="str">
        <f>"10362107418"</f>
        <v>10362107418</v>
      </c>
      <c r="B2210" s="10">
        <v>0</v>
      </c>
      <c r="C2210" s="9"/>
      <c r="D2210" s="9">
        <f t="shared" si="34"/>
        <v>0</v>
      </c>
      <c r="E2210" s="11"/>
      <c r="F2210" s="9" t="s">
        <v>7</v>
      </c>
    </row>
    <row r="2211" s="1" customFormat="1" customHeight="1" spans="1:6">
      <c r="A2211" s="9" t="str">
        <f>"10172107419"</f>
        <v>10172107419</v>
      </c>
      <c r="B2211" s="10">
        <v>42.71</v>
      </c>
      <c r="C2211" s="9"/>
      <c r="D2211" s="9">
        <f t="shared" si="34"/>
        <v>42.71</v>
      </c>
      <c r="E2211" s="11"/>
      <c r="F2211" s="9"/>
    </row>
    <row r="2212" s="1" customFormat="1" customHeight="1" spans="1:6">
      <c r="A2212" s="9" t="str">
        <f>"10332107420"</f>
        <v>10332107420</v>
      </c>
      <c r="B2212" s="10">
        <v>0</v>
      </c>
      <c r="C2212" s="9"/>
      <c r="D2212" s="9">
        <f t="shared" si="34"/>
        <v>0</v>
      </c>
      <c r="E2212" s="11"/>
      <c r="F2212" s="9" t="s">
        <v>7</v>
      </c>
    </row>
    <row r="2213" s="1" customFormat="1" customHeight="1" spans="1:6">
      <c r="A2213" s="9" t="str">
        <f>"10212107421"</f>
        <v>10212107421</v>
      </c>
      <c r="B2213" s="10">
        <v>35.53</v>
      </c>
      <c r="C2213" s="9"/>
      <c r="D2213" s="9">
        <f t="shared" si="34"/>
        <v>35.53</v>
      </c>
      <c r="E2213" s="11"/>
      <c r="F2213" s="9"/>
    </row>
    <row r="2214" s="1" customFormat="1" customHeight="1" spans="1:6">
      <c r="A2214" s="9" t="str">
        <f>"10362107422"</f>
        <v>10362107422</v>
      </c>
      <c r="B2214" s="10">
        <v>40.85</v>
      </c>
      <c r="C2214" s="9"/>
      <c r="D2214" s="9">
        <f t="shared" si="34"/>
        <v>40.85</v>
      </c>
      <c r="E2214" s="11"/>
      <c r="F2214" s="9"/>
    </row>
    <row r="2215" s="1" customFormat="1" customHeight="1" spans="1:6">
      <c r="A2215" s="9" t="str">
        <f>"10092107423"</f>
        <v>10092107423</v>
      </c>
      <c r="B2215" s="10">
        <v>0</v>
      </c>
      <c r="C2215" s="9"/>
      <c r="D2215" s="9">
        <f t="shared" si="34"/>
        <v>0</v>
      </c>
      <c r="E2215" s="11"/>
      <c r="F2215" s="9" t="s">
        <v>7</v>
      </c>
    </row>
    <row r="2216" s="1" customFormat="1" customHeight="1" spans="1:6">
      <c r="A2216" s="9" t="str">
        <f>"10482107424"</f>
        <v>10482107424</v>
      </c>
      <c r="B2216" s="10">
        <v>0</v>
      </c>
      <c r="C2216" s="9"/>
      <c r="D2216" s="9">
        <f t="shared" si="34"/>
        <v>0</v>
      </c>
      <c r="E2216" s="11"/>
      <c r="F2216" s="9" t="s">
        <v>7</v>
      </c>
    </row>
    <row r="2217" s="1" customFormat="1" customHeight="1" spans="1:6">
      <c r="A2217" s="9" t="str">
        <f>"10362107425"</f>
        <v>10362107425</v>
      </c>
      <c r="B2217" s="10">
        <v>38.07</v>
      </c>
      <c r="C2217" s="9"/>
      <c r="D2217" s="9">
        <f t="shared" si="34"/>
        <v>38.07</v>
      </c>
      <c r="E2217" s="11"/>
      <c r="F2217" s="9"/>
    </row>
    <row r="2218" s="1" customFormat="1" customHeight="1" spans="1:6">
      <c r="A2218" s="9" t="str">
        <f>"10402107426"</f>
        <v>10402107426</v>
      </c>
      <c r="B2218" s="10">
        <v>31.33</v>
      </c>
      <c r="C2218" s="9"/>
      <c r="D2218" s="9">
        <f t="shared" si="34"/>
        <v>31.33</v>
      </c>
      <c r="E2218" s="11"/>
      <c r="F2218" s="9"/>
    </row>
    <row r="2219" s="1" customFormat="1" customHeight="1" spans="1:6">
      <c r="A2219" s="9" t="str">
        <f>"10362107427"</f>
        <v>10362107427</v>
      </c>
      <c r="B2219" s="10">
        <v>38.36</v>
      </c>
      <c r="C2219" s="9"/>
      <c r="D2219" s="9">
        <f t="shared" si="34"/>
        <v>38.36</v>
      </c>
      <c r="E2219" s="11"/>
      <c r="F2219" s="9"/>
    </row>
    <row r="2220" s="1" customFormat="1" customHeight="1" spans="1:6">
      <c r="A2220" s="9" t="str">
        <f>"10082107428"</f>
        <v>10082107428</v>
      </c>
      <c r="B2220" s="10">
        <v>37.86</v>
      </c>
      <c r="C2220" s="9"/>
      <c r="D2220" s="9">
        <f t="shared" si="34"/>
        <v>37.86</v>
      </c>
      <c r="E2220" s="11"/>
      <c r="F2220" s="9"/>
    </row>
    <row r="2221" s="1" customFormat="1" customHeight="1" spans="1:6">
      <c r="A2221" s="9" t="str">
        <f>"10362107429"</f>
        <v>10362107429</v>
      </c>
      <c r="B2221" s="10">
        <v>29.19</v>
      </c>
      <c r="C2221" s="9"/>
      <c r="D2221" s="9">
        <f t="shared" si="34"/>
        <v>29.19</v>
      </c>
      <c r="E2221" s="11"/>
      <c r="F2221" s="9"/>
    </row>
    <row r="2222" s="1" customFormat="1" customHeight="1" spans="1:6">
      <c r="A2222" s="9" t="str">
        <f>"10332107430"</f>
        <v>10332107430</v>
      </c>
      <c r="B2222" s="10">
        <v>43.98</v>
      </c>
      <c r="C2222" s="9"/>
      <c r="D2222" s="9">
        <f t="shared" si="34"/>
        <v>43.98</v>
      </c>
      <c r="E2222" s="11"/>
      <c r="F2222" s="9"/>
    </row>
    <row r="2223" s="1" customFormat="1" customHeight="1" spans="1:6">
      <c r="A2223" s="9" t="str">
        <f>"10362107501"</f>
        <v>10362107501</v>
      </c>
      <c r="B2223" s="10">
        <v>0</v>
      </c>
      <c r="C2223" s="9"/>
      <c r="D2223" s="9">
        <f t="shared" si="34"/>
        <v>0</v>
      </c>
      <c r="E2223" s="11"/>
      <c r="F2223" s="9" t="s">
        <v>7</v>
      </c>
    </row>
    <row r="2224" s="1" customFormat="1" customHeight="1" spans="1:6">
      <c r="A2224" s="9" t="str">
        <f>"10142107502"</f>
        <v>10142107502</v>
      </c>
      <c r="B2224" s="10">
        <v>42.9</v>
      </c>
      <c r="C2224" s="9"/>
      <c r="D2224" s="9">
        <f t="shared" si="34"/>
        <v>42.9</v>
      </c>
      <c r="E2224" s="11"/>
      <c r="F2224" s="9"/>
    </row>
    <row r="2225" s="1" customFormat="1" customHeight="1" spans="1:6">
      <c r="A2225" s="9" t="str">
        <f>"10362107503"</f>
        <v>10362107503</v>
      </c>
      <c r="B2225" s="10">
        <v>40.87</v>
      </c>
      <c r="C2225" s="9"/>
      <c r="D2225" s="9">
        <f t="shared" si="34"/>
        <v>40.87</v>
      </c>
      <c r="E2225" s="11"/>
      <c r="F2225" s="9"/>
    </row>
    <row r="2226" s="1" customFormat="1" customHeight="1" spans="1:6">
      <c r="A2226" s="9" t="str">
        <f>"10022107504"</f>
        <v>10022107504</v>
      </c>
      <c r="B2226" s="10">
        <v>38.99</v>
      </c>
      <c r="C2226" s="9"/>
      <c r="D2226" s="9">
        <f t="shared" si="34"/>
        <v>38.99</v>
      </c>
      <c r="E2226" s="11"/>
      <c r="F2226" s="9"/>
    </row>
    <row r="2227" s="1" customFormat="1" customHeight="1" spans="1:6">
      <c r="A2227" s="9" t="str">
        <f>"10212107505"</f>
        <v>10212107505</v>
      </c>
      <c r="B2227" s="10">
        <v>38.06</v>
      </c>
      <c r="C2227" s="9"/>
      <c r="D2227" s="9">
        <f t="shared" si="34"/>
        <v>38.06</v>
      </c>
      <c r="E2227" s="11"/>
      <c r="F2227" s="9"/>
    </row>
    <row r="2228" s="1" customFormat="1" customHeight="1" spans="1:6">
      <c r="A2228" s="9" t="str">
        <f>"10372107506"</f>
        <v>10372107506</v>
      </c>
      <c r="B2228" s="10">
        <v>0</v>
      </c>
      <c r="C2228" s="9"/>
      <c r="D2228" s="9">
        <f t="shared" si="34"/>
        <v>0</v>
      </c>
      <c r="E2228" s="11"/>
      <c r="F2228" s="9" t="s">
        <v>7</v>
      </c>
    </row>
    <row r="2229" s="1" customFormat="1" customHeight="1" spans="1:6">
      <c r="A2229" s="9" t="str">
        <f>"20272107507"</f>
        <v>20272107507</v>
      </c>
      <c r="B2229" s="10">
        <v>41.13</v>
      </c>
      <c r="C2229" s="9"/>
      <c r="D2229" s="9">
        <f t="shared" si="34"/>
        <v>41.13</v>
      </c>
      <c r="E2229" s="11"/>
      <c r="F2229" s="9"/>
    </row>
    <row r="2230" s="1" customFormat="1" customHeight="1" spans="1:6">
      <c r="A2230" s="9" t="str">
        <f>"10242107508"</f>
        <v>10242107508</v>
      </c>
      <c r="B2230" s="10">
        <v>42.93</v>
      </c>
      <c r="C2230" s="9"/>
      <c r="D2230" s="9">
        <f t="shared" si="34"/>
        <v>42.93</v>
      </c>
      <c r="E2230" s="11"/>
      <c r="F2230" s="9"/>
    </row>
    <row r="2231" s="1" customFormat="1" customHeight="1" spans="1:6">
      <c r="A2231" s="9" t="str">
        <f>"10022107509"</f>
        <v>10022107509</v>
      </c>
      <c r="B2231" s="10">
        <v>0</v>
      </c>
      <c r="C2231" s="9"/>
      <c r="D2231" s="9">
        <f t="shared" si="34"/>
        <v>0</v>
      </c>
      <c r="E2231" s="11"/>
      <c r="F2231" s="9" t="s">
        <v>7</v>
      </c>
    </row>
    <row r="2232" s="1" customFormat="1" customHeight="1" spans="1:6">
      <c r="A2232" s="9" t="str">
        <f>"10532107510"</f>
        <v>10532107510</v>
      </c>
      <c r="B2232" s="10">
        <v>0</v>
      </c>
      <c r="C2232" s="9"/>
      <c r="D2232" s="9">
        <f t="shared" si="34"/>
        <v>0</v>
      </c>
      <c r="E2232" s="11"/>
      <c r="F2232" s="9" t="s">
        <v>7</v>
      </c>
    </row>
    <row r="2233" s="1" customFormat="1" customHeight="1" spans="1:6">
      <c r="A2233" s="9" t="str">
        <f>"10432107511"</f>
        <v>10432107511</v>
      </c>
      <c r="B2233" s="10">
        <v>36.88</v>
      </c>
      <c r="C2233" s="9"/>
      <c r="D2233" s="9">
        <f t="shared" si="34"/>
        <v>36.88</v>
      </c>
      <c r="E2233" s="11"/>
      <c r="F2233" s="9"/>
    </row>
    <row r="2234" s="1" customFormat="1" customHeight="1" spans="1:6">
      <c r="A2234" s="9" t="str">
        <f>"10212107512"</f>
        <v>10212107512</v>
      </c>
      <c r="B2234" s="10">
        <v>39.66</v>
      </c>
      <c r="C2234" s="9"/>
      <c r="D2234" s="9">
        <f t="shared" si="34"/>
        <v>39.66</v>
      </c>
      <c r="E2234" s="11"/>
      <c r="F2234" s="9"/>
    </row>
    <row r="2235" s="1" customFormat="1" customHeight="1" spans="1:6">
      <c r="A2235" s="9" t="str">
        <f>"10502107513"</f>
        <v>10502107513</v>
      </c>
      <c r="B2235" s="10">
        <v>37.48</v>
      </c>
      <c r="C2235" s="9"/>
      <c r="D2235" s="9">
        <f t="shared" si="34"/>
        <v>37.48</v>
      </c>
      <c r="E2235" s="11"/>
      <c r="F2235" s="9"/>
    </row>
    <row r="2236" s="1" customFormat="1" customHeight="1" spans="1:6">
      <c r="A2236" s="9" t="str">
        <f>"10232107514"</f>
        <v>10232107514</v>
      </c>
      <c r="B2236" s="10">
        <v>39.67</v>
      </c>
      <c r="C2236" s="9"/>
      <c r="D2236" s="9">
        <f t="shared" si="34"/>
        <v>39.67</v>
      </c>
      <c r="E2236" s="11"/>
      <c r="F2236" s="9"/>
    </row>
    <row r="2237" s="1" customFormat="1" customHeight="1" spans="1:6">
      <c r="A2237" s="9" t="str">
        <f>"10062107515"</f>
        <v>10062107515</v>
      </c>
      <c r="B2237" s="10">
        <v>34.8</v>
      </c>
      <c r="C2237" s="9"/>
      <c r="D2237" s="9">
        <f t="shared" si="34"/>
        <v>34.8</v>
      </c>
      <c r="E2237" s="11"/>
      <c r="F2237" s="9"/>
    </row>
    <row r="2238" s="1" customFormat="1" customHeight="1" spans="1:6">
      <c r="A2238" s="9" t="str">
        <f>"10532107516"</f>
        <v>10532107516</v>
      </c>
      <c r="B2238" s="10">
        <v>0</v>
      </c>
      <c r="C2238" s="9"/>
      <c r="D2238" s="9">
        <f t="shared" si="34"/>
        <v>0</v>
      </c>
      <c r="E2238" s="11"/>
      <c r="F2238" s="9" t="s">
        <v>7</v>
      </c>
    </row>
    <row r="2239" s="1" customFormat="1" customHeight="1" spans="1:6">
      <c r="A2239" s="9" t="str">
        <f>"10362107517"</f>
        <v>10362107517</v>
      </c>
      <c r="B2239" s="10">
        <v>41.72</v>
      </c>
      <c r="C2239" s="9"/>
      <c r="D2239" s="9">
        <f t="shared" si="34"/>
        <v>41.72</v>
      </c>
      <c r="E2239" s="11"/>
      <c r="F2239" s="9"/>
    </row>
    <row r="2240" s="1" customFormat="1" customHeight="1" spans="1:6">
      <c r="A2240" s="9" t="str">
        <f>"10502107518"</f>
        <v>10502107518</v>
      </c>
      <c r="B2240" s="10">
        <v>72.34</v>
      </c>
      <c r="C2240" s="9"/>
      <c r="D2240" s="9">
        <f t="shared" si="34"/>
        <v>72.34</v>
      </c>
      <c r="E2240" s="11"/>
      <c r="F2240" s="9"/>
    </row>
    <row r="2241" s="1" customFormat="1" customHeight="1" spans="1:6">
      <c r="A2241" s="9" t="str">
        <f>"10362107519"</f>
        <v>10362107519</v>
      </c>
      <c r="B2241" s="10">
        <v>34.76</v>
      </c>
      <c r="C2241" s="9"/>
      <c r="D2241" s="9">
        <f t="shared" si="34"/>
        <v>34.76</v>
      </c>
      <c r="E2241" s="11"/>
      <c r="F2241" s="9"/>
    </row>
    <row r="2242" s="1" customFormat="1" customHeight="1" spans="1:6">
      <c r="A2242" s="9" t="str">
        <f>"10112107520"</f>
        <v>10112107520</v>
      </c>
      <c r="B2242" s="10">
        <v>43.96</v>
      </c>
      <c r="C2242" s="9"/>
      <c r="D2242" s="9">
        <f t="shared" si="34"/>
        <v>43.96</v>
      </c>
      <c r="E2242" s="11"/>
      <c r="F2242" s="9"/>
    </row>
    <row r="2243" s="1" customFormat="1" customHeight="1" spans="1:6">
      <c r="A2243" s="9" t="str">
        <f>"10022107521"</f>
        <v>10022107521</v>
      </c>
      <c r="B2243" s="10">
        <v>46.31</v>
      </c>
      <c r="C2243" s="9"/>
      <c r="D2243" s="9">
        <f t="shared" ref="D2243:D2306" si="35">SUM(B2243:C2243)</f>
        <v>46.31</v>
      </c>
      <c r="E2243" s="11"/>
      <c r="F2243" s="9"/>
    </row>
    <row r="2244" s="1" customFormat="1" customHeight="1" spans="1:6">
      <c r="A2244" s="9" t="str">
        <f>"10362107522"</f>
        <v>10362107522</v>
      </c>
      <c r="B2244" s="10">
        <v>0</v>
      </c>
      <c r="C2244" s="9"/>
      <c r="D2244" s="9">
        <f t="shared" si="35"/>
        <v>0</v>
      </c>
      <c r="E2244" s="11"/>
      <c r="F2244" s="9" t="s">
        <v>7</v>
      </c>
    </row>
    <row r="2245" s="1" customFormat="1" customHeight="1" spans="1:6">
      <c r="A2245" s="9" t="str">
        <f>"10532107523"</f>
        <v>10532107523</v>
      </c>
      <c r="B2245" s="10">
        <v>35.92</v>
      </c>
      <c r="C2245" s="9"/>
      <c r="D2245" s="9">
        <f t="shared" si="35"/>
        <v>35.92</v>
      </c>
      <c r="E2245" s="11"/>
      <c r="F2245" s="9"/>
    </row>
    <row r="2246" s="1" customFormat="1" customHeight="1" spans="1:6">
      <c r="A2246" s="9" t="str">
        <f>"10322107524"</f>
        <v>10322107524</v>
      </c>
      <c r="B2246" s="10">
        <v>42.68</v>
      </c>
      <c r="C2246" s="9"/>
      <c r="D2246" s="9">
        <f t="shared" si="35"/>
        <v>42.68</v>
      </c>
      <c r="E2246" s="11"/>
      <c r="F2246" s="9"/>
    </row>
    <row r="2247" s="1" customFormat="1" customHeight="1" spans="1:6">
      <c r="A2247" s="9" t="str">
        <f>"10412107525"</f>
        <v>10412107525</v>
      </c>
      <c r="B2247" s="10">
        <v>48.81</v>
      </c>
      <c r="C2247" s="9"/>
      <c r="D2247" s="9">
        <f t="shared" si="35"/>
        <v>48.81</v>
      </c>
      <c r="E2247" s="11"/>
      <c r="F2247" s="9"/>
    </row>
    <row r="2248" s="1" customFormat="1" customHeight="1" spans="1:6">
      <c r="A2248" s="9" t="str">
        <f>"10182107526"</f>
        <v>10182107526</v>
      </c>
      <c r="B2248" s="10">
        <v>39.49</v>
      </c>
      <c r="C2248" s="9"/>
      <c r="D2248" s="9">
        <f t="shared" si="35"/>
        <v>39.49</v>
      </c>
      <c r="E2248" s="11"/>
      <c r="F2248" s="9"/>
    </row>
    <row r="2249" s="1" customFormat="1" customHeight="1" spans="1:6">
      <c r="A2249" s="9" t="str">
        <f>"10092107527"</f>
        <v>10092107527</v>
      </c>
      <c r="B2249" s="10">
        <v>37.28</v>
      </c>
      <c r="C2249" s="9"/>
      <c r="D2249" s="9">
        <f t="shared" si="35"/>
        <v>37.28</v>
      </c>
      <c r="E2249" s="11"/>
      <c r="F2249" s="9"/>
    </row>
    <row r="2250" s="1" customFormat="1" customHeight="1" spans="1:6">
      <c r="A2250" s="9" t="str">
        <f>"10022107528"</f>
        <v>10022107528</v>
      </c>
      <c r="B2250" s="10">
        <v>43.41</v>
      </c>
      <c r="C2250" s="9"/>
      <c r="D2250" s="9">
        <f t="shared" si="35"/>
        <v>43.41</v>
      </c>
      <c r="E2250" s="11"/>
      <c r="F2250" s="9"/>
    </row>
    <row r="2251" s="1" customFormat="1" customHeight="1" spans="1:6">
      <c r="A2251" s="9" t="str">
        <f>"10412107529"</f>
        <v>10412107529</v>
      </c>
      <c r="B2251" s="10">
        <v>38.92</v>
      </c>
      <c r="C2251" s="9"/>
      <c r="D2251" s="9">
        <f t="shared" si="35"/>
        <v>38.92</v>
      </c>
      <c r="E2251" s="11"/>
      <c r="F2251" s="9"/>
    </row>
    <row r="2252" s="1" customFormat="1" customHeight="1" spans="1:6">
      <c r="A2252" s="9" t="str">
        <f>"10362107530"</f>
        <v>10362107530</v>
      </c>
      <c r="B2252" s="10">
        <v>0</v>
      </c>
      <c r="C2252" s="9"/>
      <c r="D2252" s="9">
        <f t="shared" si="35"/>
        <v>0</v>
      </c>
      <c r="E2252" s="11"/>
      <c r="F2252" s="9" t="s">
        <v>7</v>
      </c>
    </row>
    <row r="2253" s="1" customFormat="1" customHeight="1" spans="1:6">
      <c r="A2253" s="9" t="str">
        <f>"10512107601"</f>
        <v>10512107601</v>
      </c>
      <c r="B2253" s="10">
        <v>37.79</v>
      </c>
      <c r="C2253" s="9"/>
      <c r="D2253" s="9">
        <f t="shared" si="35"/>
        <v>37.79</v>
      </c>
      <c r="E2253" s="11"/>
      <c r="F2253" s="9"/>
    </row>
    <row r="2254" s="1" customFormat="1" customHeight="1" spans="1:6">
      <c r="A2254" s="9" t="str">
        <f>"10362107602"</f>
        <v>10362107602</v>
      </c>
      <c r="B2254" s="10">
        <v>42.9</v>
      </c>
      <c r="C2254" s="9"/>
      <c r="D2254" s="9">
        <f t="shared" si="35"/>
        <v>42.9</v>
      </c>
      <c r="E2254" s="11"/>
      <c r="F2254" s="9"/>
    </row>
    <row r="2255" s="1" customFormat="1" customHeight="1" spans="1:6">
      <c r="A2255" s="9" t="str">
        <f>"10302107603"</f>
        <v>10302107603</v>
      </c>
      <c r="B2255" s="10">
        <v>39.42</v>
      </c>
      <c r="C2255" s="9"/>
      <c r="D2255" s="9">
        <f t="shared" si="35"/>
        <v>39.42</v>
      </c>
      <c r="E2255" s="11"/>
      <c r="F2255" s="9"/>
    </row>
    <row r="2256" s="1" customFormat="1" customHeight="1" spans="1:6">
      <c r="A2256" s="9" t="str">
        <f>"10362107604"</f>
        <v>10362107604</v>
      </c>
      <c r="B2256" s="10">
        <v>0</v>
      </c>
      <c r="C2256" s="9"/>
      <c r="D2256" s="9">
        <f t="shared" si="35"/>
        <v>0</v>
      </c>
      <c r="E2256" s="11"/>
      <c r="F2256" s="9" t="s">
        <v>7</v>
      </c>
    </row>
    <row r="2257" s="1" customFormat="1" customHeight="1" spans="1:6">
      <c r="A2257" s="9" t="str">
        <f>"20272107605"</f>
        <v>20272107605</v>
      </c>
      <c r="B2257" s="10">
        <v>44.3</v>
      </c>
      <c r="C2257" s="9"/>
      <c r="D2257" s="9">
        <f t="shared" si="35"/>
        <v>44.3</v>
      </c>
      <c r="E2257" s="11"/>
      <c r="F2257" s="9"/>
    </row>
    <row r="2258" s="1" customFormat="1" customHeight="1" spans="1:6">
      <c r="A2258" s="9" t="str">
        <f>"10342107606"</f>
        <v>10342107606</v>
      </c>
      <c r="B2258" s="10">
        <v>43.36</v>
      </c>
      <c r="C2258" s="9"/>
      <c r="D2258" s="9">
        <f t="shared" si="35"/>
        <v>43.36</v>
      </c>
      <c r="E2258" s="11"/>
      <c r="F2258" s="9"/>
    </row>
    <row r="2259" s="1" customFormat="1" customHeight="1" spans="1:6">
      <c r="A2259" s="9" t="str">
        <f>"10362107607"</f>
        <v>10362107607</v>
      </c>
      <c r="B2259" s="10">
        <v>0</v>
      </c>
      <c r="C2259" s="9"/>
      <c r="D2259" s="9">
        <f t="shared" si="35"/>
        <v>0</v>
      </c>
      <c r="E2259" s="11"/>
      <c r="F2259" s="9" t="s">
        <v>7</v>
      </c>
    </row>
    <row r="2260" s="1" customFormat="1" customHeight="1" spans="1:6">
      <c r="A2260" s="9" t="str">
        <f>"10332107608"</f>
        <v>10332107608</v>
      </c>
      <c r="B2260" s="10">
        <v>73.65</v>
      </c>
      <c r="C2260" s="9"/>
      <c r="D2260" s="9">
        <f t="shared" si="35"/>
        <v>73.65</v>
      </c>
      <c r="E2260" s="11"/>
      <c r="F2260" s="9"/>
    </row>
    <row r="2261" s="1" customFormat="1" customHeight="1" spans="1:6">
      <c r="A2261" s="9" t="str">
        <f>"10302107609"</f>
        <v>10302107609</v>
      </c>
      <c r="B2261" s="10">
        <v>40.26</v>
      </c>
      <c r="C2261" s="9"/>
      <c r="D2261" s="9">
        <f t="shared" si="35"/>
        <v>40.26</v>
      </c>
      <c r="E2261" s="11"/>
      <c r="F2261" s="9"/>
    </row>
    <row r="2262" s="1" customFormat="1" customHeight="1" spans="1:6">
      <c r="A2262" s="9" t="str">
        <f>"10282107610"</f>
        <v>10282107610</v>
      </c>
      <c r="B2262" s="10">
        <v>40.74</v>
      </c>
      <c r="C2262" s="9"/>
      <c r="D2262" s="9">
        <f t="shared" si="35"/>
        <v>40.74</v>
      </c>
      <c r="E2262" s="11"/>
      <c r="F2262" s="9"/>
    </row>
    <row r="2263" s="1" customFormat="1" customHeight="1" spans="1:6">
      <c r="A2263" s="9" t="str">
        <f>"10082107611"</f>
        <v>10082107611</v>
      </c>
      <c r="B2263" s="10">
        <v>41.36</v>
      </c>
      <c r="C2263" s="9"/>
      <c r="D2263" s="9">
        <f t="shared" si="35"/>
        <v>41.36</v>
      </c>
      <c r="E2263" s="11"/>
      <c r="F2263" s="9"/>
    </row>
    <row r="2264" s="1" customFormat="1" customHeight="1" spans="1:6">
      <c r="A2264" s="9" t="str">
        <f>"10482107612"</f>
        <v>10482107612</v>
      </c>
      <c r="B2264" s="10">
        <v>48.03</v>
      </c>
      <c r="C2264" s="9"/>
      <c r="D2264" s="9">
        <f t="shared" si="35"/>
        <v>48.03</v>
      </c>
      <c r="E2264" s="11"/>
      <c r="F2264" s="9"/>
    </row>
    <row r="2265" s="1" customFormat="1" customHeight="1" spans="1:6">
      <c r="A2265" s="9" t="str">
        <f>"10062107613"</f>
        <v>10062107613</v>
      </c>
      <c r="B2265" s="10">
        <v>42.25</v>
      </c>
      <c r="C2265" s="9"/>
      <c r="D2265" s="9">
        <f t="shared" si="35"/>
        <v>42.25</v>
      </c>
      <c r="E2265" s="11"/>
      <c r="F2265" s="9"/>
    </row>
    <row r="2266" s="1" customFormat="1" customHeight="1" spans="1:6">
      <c r="A2266" s="9" t="str">
        <f>"10532107614"</f>
        <v>10532107614</v>
      </c>
      <c r="B2266" s="10">
        <v>0</v>
      </c>
      <c r="C2266" s="9"/>
      <c r="D2266" s="9">
        <f t="shared" si="35"/>
        <v>0</v>
      </c>
      <c r="E2266" s="11"/>
      <c r="F2266" s="9" t="s">
        <v>7</v>
      </c>
    </row>
    <row r="2267" s="1" customFormat="1" customHeight="1" spans="1:6">
      <c r="A2267" s="9" t="str">
        <f>"10062107615"</f>
        <v>10062107615</v>
      </c>
      <c r="B2267" s="10">
        <v>0</v>
      </c>
      <c r="C2267" s="9"/>
      <c r="D2267" s="9">
        <f t="shared" si="35"/>
        <v>0</v>
      </c>
      <c r="E2267" s="11"/>
      <c r="F2267" s="9" t="s">
        <v>7</v>
      </c>
    </row>
    <row r="2268" s="1" customFormat="1" customHeight="1" spans="1:6">
      <c r="A2268" s="9" t="str">
        <f>"10062107616"</f>
        <v>10062107616</v>
      </c>
      <c r="B2268" s="10">
        <v>0</v>
      </c>
      <c r="C2268" s="9"/>
      <c r="D2268" s="9">
        <f t="shared" si="35"/>
        <v>0</v>
      </c>
      <c r="E2268" s="11"/>
      <c r="F2268" s="9" t="s">
        <v>7</v>
      </c>
    </row>
    <row r="2269" s="1" customFormat="1" customHeight="1" spans="1:6">
      <c r="A2269" s="9" t="str">
        <f>"10362107617"</f>
        <v>10362107617</v>
      </c>
      <c r="B2269" s="10">
        <v>34.83</v>
      </c>
      <c r="C2269" s="9"/>
      <c r="D2269" s="9">
        <f t="shared" si="35"/>
        <v>34.83</v>
      </c>
      <c r="E2269" s="11"/>
      <c r="F2269" s="9"/>
    </row>
    <row r="2270" s="1" customFormat="1" customHeight="1" spans="1:6">
      <c r="A2270" s="9" t="str">
        <f>"10142107618"</f>
        <v>10142107618</v>
      </c>
      <c r="B2270" s="10">
        <v>44.69</v>
      </c>
      <c r="C2270" s="9"/>
      <c r="D2270" s="9">
        <f t="shared" si="35"/>
        <v>44.69</v>
      </c>
      <c r="E2270" s="11"/>
      <c r="F2270" s="9"/>
    </row>
    <row r="2271" s="1" customFormat="1" customHeight="1" spans="1:6">
      <c r="A2271" s="9" t="str">
        <f>"10302107619"</f>
        <v>10302107619</v>
      </c>
      <c r="B2271" s="10">
        <v>50.73</v>
      </c>
      <c r="C2271" s="9"/>
      <c r="D2271" s="9">
        <f t="shared" si="35"/>
        <v>50.73</v>
      </c>
      <c r="E2271" s="11"/>
      <c r="F2271" s="9"/>
    </row>
    <row r="2272" s="1" customFormat="1" customHeight="1" spans="1:6">
      <c r="A2272" s="9" t="str">
        <f>"20272107620"</f>
        <v>20272107620</v>
      </c>
      <c r="B2272" s="10">
        <v>0</v>
      </c>
      <c r="C2272" s="9"/>
      <c r="D2272" s="9">
        <f t="shared" si="35"/>
        <v>0</v>
      </c>
      <c r="E2272" s="11"/>
      <c r="F2272" s="9" t="s">
        <v>7</v>
      </c>
    </row>
    <row r="2273" s="1" customFormat="1" customHeight="1" spans="1:6">
      <c r="A2273" s="9" t="str">
        <f>"10532107621"</f>
        <v>10532107621</v>
      </c>
      <c r="B2273" s="10">
        <v>33.73</v>
      </c>
      <c r="C2273" s="9"/>
      <c r="D2273" s="9">
        <f t="shared" si="35"/>
        <v>33.73</v>
      </c>
      <c r="E2273" s="11"/>
      <c r="F2273" s="9"/>
    </row>
    <row r="2274" s="1" customFormat="1" customHeight="1" spans="1:6">
      <c r="A2274" s="9" t="str">
        <f>"10442107622"</f>
        <v>10442107622</v>
      </c>
      <c r="B2274" s="10">
        <v>36.04</v>
      </c>
      <c r="C2274" s="9"/>
      <c r="D2274" s="9">
        <f t="shared" si="35"/>
        <v>36.04</v>
      </c>
      <c r="E2274" s="11"/>
      <c r="F2274" s="9"/>
    </row>
    <row r="2275" s="1" customFormat="1" customHeight="1" spans="1:6">
      <c r="A2275" s="9" t="str">
        <f>"10302107623"</f>
        <v>10302107623</v>
      </c>
      <c r="B2275" s="10">
        <v>35.65</v>
      </c>
      <c r="C2275" s="9"/>
      <c r="D2275" s="9">
        <f t="shared" si="35"/>
        <v>35.65</v>
      </c>
      <c r="E2275" s="11"/>
      <c r="F2275" s="9"/>
    </row>
    <row r="2276" s="1" customFormat="1" customHeight="1" spans="1:6">
      <c r="A2276" s="9" t="str">
        <f>"10442107624"</f>
        <v>10442107624</v>
      </c>
      <c r="B2276" s="10">
        <v>36.31</v>
      </c>
      <c r="C2276" s="9"/>
      <c r="D2276" s="9">
        <f t="shared" si="35"/>
        <v>36.31</v>
      </c>
      <c r="E2276" s="11"/>
      <c r="F2276" s="9"/>
    </row>
    <row r="2277" s="1" customFormat="1" customHeight="1" spans="1:6">
      <c r="A2277" s="9" t="str">
        <f>"10242107625"</f>
        <v>10242107625</v>
      </c>
      <c r="B2277" s="10">
        <v>38.73</v>
      </c>
      <c r="C2277" s="9">
        <v>10</v>
      </c>
      <c r="D2277" s="9">
        <f t="shared" si="35"/>
        <v>48.73</v>
      </c>
      <c r="E2277" s="12" t="s">
        <v>8</v>
      </c>
      <c r="F2277" s="9"/>
    </row>
    <row r="2278" s="1" customFormat="1" customHeight="1" spans="1:6">
      <c r="A2278" s="9" t="str">
        <f>"10302107626"</f>
        <v>10302107626</v>
      </c>
      <c r="B2278" s="10">
        <v>33.99</v>
      </c>
      <c r="C2278" s="9"/>
      <c r="D2278" s="9">
        <f t="shared" si="35"/>
        <v>33.99</v>
      </c>
      <c r="E2278" s="11"/>
      <c r="F2278" s="9"/>
    </row>
    <row r="2279" s="1" customFormat="1" customHeight="1" spans="1:6">
      <c r="A2279" s="9" t="str">
        <f>"10342107627"</f>
        <v>10342107627</v>
      </c>
      <c r="B2279" s="10">
        <v>35.57</v>
      </c>
      <c r="C2279" s="9"/>
      <c r="D2279" s="9">
        <f t="shared" si="35"/>
        <v>35.57</v>
      </c>
      <c r="E2279" s="11"/>
      <c r="F2279" s="9"/>
    </row>
    <row r="2280" s="1" customFormat="1" customHeight="1" spans="1:6">
      <c r="A2280" s="9" t="str">
        <f>"10362107628"</f>
        <v>10362107628</v>
      </c>
      <c r="B2280" s="10">
        <v>43.99</v>
      </c>
      <c r="C2280" s="9"/>
      <c r="D2280" s="9">
        <f t="shared" si="35"/>
        <v>43.99</v>
      </c>
      <c r="E2280" s="11"/>
      <c r="F2280" s="9"/>
    </row>
    <row r="2281" s="1" customFormat="1" customHeight="1" spans="1:6">
      <c r="A2281" s="9" t="str">
        <f>"10512107629"</f>
        <v>10512107629</v>
      </c>
      <c r="B2281" s="10">
        <v>32.96</v>
      </c>
      <c r="C2281" s="9"/>
      <c r="D2281" s="9">
        <f t="shared" si="35"/>
        <v>32.96</v>
      </c>
      <c r="E2281" s="11"/>
      <c r="F2281" s="9"/>
    </row>
    <row r="2282" s="1" customFormat="1" customHeight="1" spans="1:6">
      <c r="A2282" s="9" t="str">
        <f>"10172107630"</f>
        <v>10172107630</v>
      </c>
      <c r="B2282" s="10">
        <v>50.1</v>
      </c>
      <c r="C2282" s="9"/>
      <c r="D2282" s="9">
        <f t="shared" si="35"/>
        <v>50.1</v>
      </c>
      <c r="E2282" s="11"/>
      <c r="F2282" s="9"/>
    </row>
    <row r="2283" s="1" customFormat="1" customHeight="1" spans="1:6">
      <c r="A2283" s="9" t="str">
        <f>"10162107701"</f>
        <v>10162107701</v>
      </c>
      <c r="B2283" s="10">
        <v>0</v>
      </c>
      <c r="C2283" s="9"/>
      <c r="D2283" s="9">
        <f t="shared" si="35"/>
        <v>0</v>
      </c>
      <c r="E2283" s="11"/>
      <c r="F2283" s="9" t="s">
        <v>7</v>
      </c>
    </row>
    <row r="2284" s="1" customFormat="1" customHeight="1" spans="1:6">
      <c r="A2284" s="9" t="str">
        <f>"10522107702"</f>
        <v>10522107702</v>
      </c>
      <c r="B2284" s="10">
        <v>43.04</v>
      </c>
      <c r="C2284" s="9"/>
      <c r="D2284" s="9">
        <f t="shared" si="35"/>
        <v>43.04</v>
      </c>
      <c r="E2284" s="11"/>
      <c r="F2284" s="9"/>
    </row>
    <row r="2285" s="1" customFormat="1" customHeight="1" spans="1:6">
      <c r="A2285" s="9" t="str">
        <f>"10242107703"</f>
        <v>10242107703</v>
      </c>
      <c r="B2285" s="10">
        <v>30.02</v>
      </c>
      <c r="C2285" s="9"/>
      <c r="D2285" s="9">
        <f t="shared" si="35"/>
        <v>30.02</v>
      </c>
      <c r="E2285" s="11"/>
      <c r="F2285" s="9"/>
    </row>
    <row r="2286" s="1" customFormat="1" customHeight="1" spans="1:6">
      <c r="A2286" s="9" t="str">
        <f>"10132107704"</f>
        <v>10132107704</v>
      </c>
      <c r="B2286" s="10">
        <v>36.67</v>
      </c>
      <c r="C2286" s="9"/>
      <c r="D2286" s="9">
        <f t="shared" si="35"/>
        <v>36.67</v>
      </c>
      <c r="E2286" s="11"/>
      <c r="F2286" s="9"/>
    </row>
    <row r="2287" s="1" customFormat="1" customHeight="1" spans="1:6">
      <c r="A2287" s="9" t="str">
        <f>"10362107705"</f>
        <v>10362107705</v>
      </c>
      <c r="B2287" s="10">
        <v>42.41</v>
      </c>
      <c r="C2287" s="9"/>
      <c r="D2287" s="9">
        <f t="shared" si="35"/>
        <v>42.41</v>
      </c>
      <c r="E2287" s="11"/>
      <c r="F2287" s="9"/>
    </row>
    <row r="2288" s="1" customFormat="1" customHeight="1" spans="1:6">
      <c r="A2288" s="9" t="str">
        <f>"10122107706"</f>
        <v>10122107706</v>
      </c>
      <c r="B2288" s="10">
        <v>38.73</v>
      </c>
      <c r="C2288" s="9"/>
      <c r="D2288" s="9">
        <f t="shared" si="35"/>
        <v>38.73</v>
      </c>
      <c r="E2288" s="11"/>
      <c r="F2288" s="9"/>
    </row>
    <row r="2289" s="1" customFormat="1" customHeight="1" spans="1:6">
      <c r="A2289" s="9" t="str">
        <f>"10112107707"</f>
        <v>10112107707</v>
      </c>
      <c r="B2289" s="10">
        <v>45.25</v>
      </c>
      <c r="C2289" s="9"/>
      <c r="D2289" s="9">
        <f t="shared" si="35"/>
        <v>45.25</v>
      </c>
      <c r="E2289" s="11"/>
      <c r="F2289" s="9"/>
    </row>
    <row r="2290" s="1" customFormat="1" customHeight="1" spans="1:6">
      <c r="A2290" s="9" t="str">
        <f>"10362107708"</f>
        <v>10362107708</v>
      </c>
      <c r="B2290" s="10">
        <v>40.86</v>
      </c>
      <c r="C2290" s="9"/>
      <c r="D2290" s="9">
        <f t="shared" si="35"/>
        <v>40.86</v>
      </c>
      <c r="E2290" s="11"/>
      <c r="F2290" s="9"/>
    </row>
    <row r="2291" s="1" customFormat="1" customHeight="1" spans="1:6">
      <c r="A2291" s="9" t="str">
        <f>"10082107709"</f>
        <v>10082107709</v>
      </c>
      <c r="B2291" s="10">
        <v>0</v>
      </c>
      <c r="C2291" s="9"/>
      <c r="D2291" s="9">
        <f t="shared" si="35"/>
        <v>0</v>
      </c>
      <c r="E2291" s="11"/>
      <c r="F2291" s="9" t="s">
        <v>7</v>
      </c>
    </row>
    <row r="2292" s="1" customFormat="1" customHeight="1" spans="1:6">
      <c r="A2292" s="9" t="str">
        <f>"10362107710"</f>
        <v>10362107710</v>
      </c>
      <c r="B2292" s="10">
        <v>0</v>
      </c>
      <c r="C2292" s="9"/>
      <c r="D2292" s="9">
        <f t="shared" si="35"/>
        <v>0</v>
      </c>
      <c r="E2292" s="11"/>
      <c r="F2292" s="9" t="s">
        <v>7</v>
      </c>
    </row>
    <row r="2293" s="1" customFormat="1" customHeight="1" spans="1:6">
      <c r="A2293" s="9" t="str">
        <f>"10522107711"</f>
        <v>10522107711</v>
      </c>
      <c r="B2293" s="10">
        <v>34.81</v>
      </c>
      <c r="C2293" s="9"/>
      <c r="D2293" s="9">
        <f t="shared" si="35"/>
        <v>34.81</v>
      </c>
      <c r="E2293" s="11"/>
      <c r="F2293" s="9"/>
    </row>
    <row r="2294" s="1" customFormat="1" customHeight="1" spans="1:6">
      <c r="A2294" s="9" t="str">
        <f>"10362107712"</f>
        <v>10362107712</v>
      </c>
      <c r="B2294" s="10">
        <v>0</v>
      </c>
      <c r="C2294" s="9"/>
      <c r="D2294" s="9">
        <f t="shared" si="35"/>
        <v>0</v>
      </c>
      <c r="E2294" s="11"/>
      <c r="F2294" s="9" t="s">
        <v>7</v>
      </c>
    </row>
    <row r="2295" s="1" customFormat="1" customHeight="1" spans="1:6">
      <c r="A2295" s="9" t="str">
        <f>"10072107713"</f>
        <v>10072107713</v>
      </c>
      <c r="B2295" s="10">
        <v>31.74</v>
      </c>
      <c r="C2295" s="9"/>
      <c r="D2295" s="9">
        <f t="shared" si="35"/>
        <v>31.74</v>
      </c>
      <c r="E2295" s="11"/>
      <c r="F2295" s="9"/>
    </row>
    <row r="2296" s="1" customFormat="1" customHeight="1" spans="1:6">
      <c r="A2296" s="9" t="str">
        <f>"10362107714"</f>
        <v>10362107714</v>
      </c>
      <c r="B2296" s="10">
        <v>0</v>
      </c>
      <c r="C2296" s="9"/>
      <c r="D2296" s="9">
        <f t="shared" si="35"/>
        <v>0</v>
      </c>
      <c r="E2296" s="11"/>
      <c r="F2296" s="9" t="s">
        <v>7</v>
      </c>
    </row>
    <row r="2297" s="1" customFormat="1" customHeight="1" spans="1:6">
      <c r="A2297" s="9" t="str">
        <f>"10412107715"</f>
        <v>10412107715</v>
      </c>
      <c r="B2297" s="10">
        <v>42.95</v>
      </c>
      <c r="C2297" s="9"/>
      <c r="D2297" s="9">
        <f t="shared" si="35"/>
        <v>42.95</v>
      </c>
      <c r="E2297" s="11"/>
      <c r="F2297" s="9"/>
    </row>
    <row r="2298" s="1" customFormat="1" customHeight="1" spans="1:6">
      <c r="A2298" s="9" t="str">
        <f>"10512107716"</f>
        <v>10512107716</v>
      </c>
      <c r="B2298" s="10">
        <v>0</v>
      </c>
      <c r="C2298" s="9"/>
      <c r="D2298" s="9">
        <f t="shared" si="35"/>
        <v>0</v>
      </c>
      <c r="E2298" s="11"/>
      <c r="F2298" s="9" t="s">
        <v>7</v>
      </c>
    </row>
    <row r="2299" s="1" customFormat="1" customHeight="1" spans="1:6">
      <c r="A2299" s="9" t="str">
        <f>"10512107717"</f>
        <v>10512107717</v>
      </c>
      <c r="B2299" s="10">
        <v>34.82</v>
      </c>
      <c r="C2299" s="9"/>
      <c r="D2299" s="9">
        <f t="shared" si="35"/>
        <v>34.82</v>
      </c>
      <c r="E2299" s="11"/>
      <c r="F2299" s="9"/>
    </row>
    <row r="2300" s="1" customFormat="1" customHeight="1" spans="1:6">
      <c r="A2300" s="9" t="str">
        <f>"10452107718"</f>
        <v>10452107718</v>
      </c>
      <c r="B2300" s="10">
        <v>33.14</v>
      </c>
      <c r="C2300" s="9"/>
      <c r="D2300" s="9">
        <f t="shared" si="35"/>
        <v>33.14</v>
      </c>
      <c r="E2300" s="11"/>
      <c r="F2300" s="9"/>
    </row>
    <row r="2301" s="1" customFormat="1" customHeight="1" spans="1:6">
      <c r="A2301" s="9" t="str">
        <f>"10302107719"</f>
        <v>10302107719</v>
      </c>
      <c r="B2301" s="10">
        <v>40.65</v>
      </c>
      <c r="C2301" s="9"/>
      <c r="D2301" s="9">
        <f t="shared" si="35"/>
        <v>40.65</v>
      </c>
      <c r="E2301" s="11"/>
      <c r="F2301" s="9"/>
    </row>
    <row r="2302" s="1" customFormat="1" customHeight="1" spans="1:6">
      <c r="A2302" s="9" t="str">
        <f>"10512107720"</f>
        <v>10512107720</v>
      </c>
      <c r="B2302" s="10">
        <v>40.62</v>
      </c>
      <c r="C2302" s="9"/>
      <c r="D2302" s="9">
        <f t="shared" si="35"/>
        <v>40.62</v>
      </c>
      <c r="E2302" s="11"/>
      <c r="F2302" s="9"/>
    </row>
    <row r="2303" s="1" customFormat="1" customHeight="1" spans="1:6">
      <c r="A2303" s="9" t="str">
        <f>"10502107721"</f>
        <v>10502107721</v>
      </c>
      <c r="B2303" s="10">
        <v>44.98</v>
      </c>
      <c r="C2303" s="9"/>
      <c r="D2303" s="9">
        <f t="shared" si="35"/>
        <v>44.98</v>
      </c>
      <c r="E2303" s="11"/>
      <c r="F2303" s="9"/>
    </row>
    <row r="2304" s="1" customFormat="1" customHeight="1" spans="1:6">
      <c r="A2304" s="9" t="str">
        <f>"10212107722"</f>
        <v>10212107722</v>
      </c>
      <c r="B2304" s="10">
        <v>0</v>
      </c>
      <c r="C2304" s="9"/>
      <c r="D2304" s="9">
        <f t="shared" si="35"/>
        <v>0</v>
      </c>
      <c r="E2304" s="11"/>
      <c r="F2304" s="9" t="s">
        <v>7</v>
      </c>
    </row>
    <row r="2305" s="1" customFormat="1" customHeight="1" spans="1:6">
      <c r="A2305" s="9" t="str">
        <f>"10362107723"</f>
        <v>10362107723</v>
      </c>
      <c r="B2305" s="10">
        <v>0</v>
      </c>
      <c r="C2305" s="9"/>
      <c r="D2305" s="9">
        <f t="shared" si="35"/>
        <v>0</v>
      </c>
      <c r="E2305" s="11"/>
      <c r="F2305" s="9" t="s">
        <v>7</v>
      </c>
    </row>
    <row r="2306" s="1" customFormat="1" customHeight="1" spans="1:6">
      <c r="A2306" s="9" t="str">
        <f>"10282107724"</f>
        <v>10282107724</v>
      </c>
      <c r="B2306" s="10">
        <v>38.93</v>
      </c>
      <c r="C2306" s="9"/>
      <c r="D2306" s="9">
        <f t="shared" si="35"/>
        <v>38.93</v>
      </c>
      <c r="E2306" s="11"/>
      <c r="F2306" s="9"/>
    </row>
    <row r="2307" s="1" customFormat="1" customHeight="1" spans="1:6">
      <c r="A2307" s="9" t="str">
        <f>"10102107725"</f>
        <v>10102107725</v>
      </c>
      <c r="B2307" s="10">
        <v>44.09</v>
      </c>
      <c r="C2307" s="9"/>
      <c r="D2307" s="9">
        <f t="shared" ref="D2307:D2370" si="36">SUM(B2307:C2307)</f>
        <v>44.09</v>
      </c>
      <c r="E2307" s="11"/>
      <c r="F2307" s="9"/>
    </row>
    <row r="2308" s="1" customFormat="1" customHeight="1" spans="1:6">
      <c r="A2308" s="9" t="str">
        <f>"10092107726"</f>
        <v>10092107726</v>
      </c>
      <c r="B2308" s="10">
        <v>36.06</v>
      </c>
      <c r="C2308" s="9"/>
      <c r="D2308" s="9">
        <f t="shared" si="36"/>
        <v>36.06</v>
      </c>
      <c r="E2308" s="11"/>
      <c r="F2308" s="9"/>
    </row>
    <row r="2309" s="1" customFormat="1" customHeight="1" spans="1:6">
      <c r="A2309" s="9" t="str">
        <f>"10242107727"</f>
        <v>10242107727</v>
      </c>
      <c r="B2309" s="10">
        <v>42.05</v>
      </c>
      <c r="C2309" s="9"/>
      <c r="D2309" s="9">
        <f t="shared" si="36"/>
        <v>42.05</v>
      </c>
      <c r="E2309" s="11"/>
      <c r="F2309" s="9"/>
    </row>
    <row r="2310" s="1" customFormat="1" customHeight="1" spans="1:6">
      <c r="A2310" s="9" t="str">
        <f>"10012107728"</f>
        <v>10012107728</v>
      </c>
      <c r="B2310" s="10">
        <v>0</v>
      </c>
      <c r="C2310" s="9"/>
      <c r="D2310" s="9">
        <f t="shared" si="36"/>
        <v>0</v>
      </c>
      <c r="E2310" s="11"/>
      <c r="F2310" s="9" t="s">
        <v>7</v>
      </c>
    </row>
    <row r="2311" s="1" customFormat="1" customHeight="1" spans="1:6">
      <c r="A2311" s="9" t="str">
        <f>"10142107729"</f>
        <v>10142107729</v>
      </c>
      <c r="B2311" s="10">
        <v>32.09</v>
      </c>
      <c r="C2311" s="9"/>
      <c r="D2311" s="9">
        <f t="shared" si="36"/>
        <v>32.09</v>
      </c>
      <c r="E2311" s="11"/>
      <c r="F2311" s="9"/>
    </row>
    <row r="2312" s="1" customFormat="1" customHeight="1" spans="1:6">
      <c r="A2312" s="9" t="str">
        <f>"10362107730"</f>
        <v>10362107730</v>
      </c>
      <c r="B2312" s="10">
        <v>42.51</v>
      </c>
      <c r="C2312" s="9"/>
      <c r="D2312" s="9">
        <f t="shared" si="36"/>
        <v>42.51</v>
      </c>
      <c r="E2312" s="11"/>
      <c r="F2312" s="9"/>
    </row>
    <row r="2313" s="1" customFormat="1" customHeight="1" spans="1:6">
      <c r="A2313" s="9" t="str">
        <f>"10302107801"</f>
        <v>10302107801</v>
      </c>
      <c r="B2313" s="10">
        <v>34.24</v>
      </c>
      <c r="C2313" s="9"/>
      <c r="D2313" s="9">
        <f t="shared" si="36"/>
        <v>34.24</v>
      </c>
      <c r="E2313" s="11"/>
      <c r="F2313" s="9"/>
    </row>
    <row r="2314" s="1" customFormat="1" customHeight="1" spans="1:6">
      <c r="A2314" s="9" t="str">
        <f>"10232107802"</f>
        <v>10232107802</v>
      </c>
      <c r="B2314" s="10">
        <v>0</v>
      </c>
      <c r="C2314" s="9"/>
      <c r="D2314" s="9">
        <f t="shared" si="36"/>
        <v>0</v>
      </c>
      <c r="E2314" s="11"/>
      <c r="F2314" s="9" t="s">
        <v>7</v>
      </c>
    </row>
    <row r="2315" s="1" customFormat="1" customHeight="1" spans="1:6">
      <c r="A2315" s="9" t="str">
        <f>"10512107803"</f>
        <v>10512107803</v>
      </c>
      <c r="B2315" s="10">
        <v>65.57</v>
      </c>
      <c r="C2315" s="9"/>
      <c r="D2315" s="9">
        <f t="shared" si="36"/>
        <v>65.57</v>
      </c>
      <c r="E2315" s="11"/>
      <c r="F2315" s="9"/>
    </row>
    <row r="2316" s="1" customFormat="1" customHeight="1" spans="1:6">
      <c r="A2316" s="9" t="str">
        <f>"10232107804"</f>
        <v>10232107804</v>
      </c>
      <c r="B2316" s="10">
        <v>65.46</v>
      </c>
      <c r="C2316" s="9"/>
      <c r="D2316" s="9">
        <f t="shared" si="36"/>
        <v>65.46</v>
      </c>
      <c r="E2316" s="11"/>
      <c r="F2316" s="9"/>
    </row>
    <row r="2317" s="1" customFormat="1" customHeight="1" spans="1:6">
      <c r="A2317" s="9" t="str">
        <f>"10512107805"</f>
        <v>10512107805</v>
      </c>
      <c r="B2317" s="10">
        <v>38.51</v>
      </c>
      <c r="C2317" s="9"/>
      <c r="D2317" s="9">
        <f t="shared" si="36"/>
        <v>38.51</v>
      </c>
      <c r="E2317" s="11"/>
      <c r="F2317" s="9"/>
    </row>
    <row r="2318" s="1" customFormat="1" customHeight="1" spans="1:6">
      <c r="A2318" s="9" t="str">
        <f>"10302107806"</f>
        <v>10302107806</v>
      </c>
      <c r="B2318" s="10">
        <v>45.68</v>
      </c>
      <c r="C2318" s="9"/>
      <c r="D2318" s="9">
        <f t="shared" si="36"/>
        <v>45.68</v>
      </c>
      <c r="E2318" s="11"/>
      <c r="F2318" s="9"/>
    </row>
    <row r="2319" s="1" customFormat="1" customHeight="1" spans="1:6">
      <c r="A2319" s="9" t="str">
        <f>"10532107807"</f>
        <v>10532107807</v>
      </c>
      <c r="B2319" s="10">
        <v>38.24</v>
      </c>
      <c r="C2319" s="9"/>
      <c r="D2319" s="9">
        <f t="shared" si="36"/>
        <v>38.24</v>
      </c>
      <c r="E2319" s="11"/>
      <c r="F2319" s="9"/>
    </row>
    <row r="2320" s="1" customFormat="1" customHeight="1" spans="1:6">
      <c r="A2320" s="9" t="str">
        <f>"10362107808"</f>
        <v>10362107808</v>
      </c>
      <c r="B2320" s="10">
        <v>38.72</v>
      </c>
      <c r="C2320" s="9"/>
      <c r="D2320" s="9">
        <f t="shared" si="36"/>
        <v>38.72</v>
      </c>
      <c r="E2320" s="11"/>
      <c r="F2320" s="9"/>
    </row>
    <row r="2321" s="1" customFormat="1" customHeight="1" spans="1:6">
      <c r="A2321" s="9" t="str">
        <f>"10232107809"</f>
        <v>10232107809</v>
      </c>
      <c r="B2321" s="10">
        <v>0</v>
      </c>
      <c r="C2321" s="9"/>
      <c r="D2321" s="9">
        <f t="shared" si="36"/>
        <v>0</v>
      </c>
      <c r="E2321" s="11"/>
      <c r="F2321" s="9" t="s">
        <v>7</v>
      </c>
    </row>
    <row r="2322" s="1" customFormat="1" customHeight="1" spans="1:6">
      <c r="A2322" s="9" t="str">
        <f>"10502107810"</f>
        <v>10502107810</v>
      </c>
      <c r="B2322" s="10">
        <v>77.45</v>
      </c>
      <c r="C2322" s="9"/>
      <c r="D2322" s="9">
        <f t="shared" si="36"/>
        <v>77.45</v>
      </c>
      <c r="E2322" s="11"/>
      <c r="F2322" s="9"/>
    </row>
    <row r="2323" s="1" customFormat="1" customHeight="1" spans="1:6">
      <c r="A2323" s="9" t="str">
        <f>"10432107811"</f>
        <v>10432107811</v>
      </c>
      <c r="B2323" s="10">
        <v>38.44</v>
      </c>
      <c r="C2323" s="9"/>
      <c r="D2323" s="9">
        <f t="shared" si="36"/>
        <v>38.44</v>
      </c>
      <c r="E2323" s="11"/>
      <c r="F2323" s="9"/>
    </row>
    <row r="2324" s="1" customFormat="1" customHeight="1" spans="1:6">
      <c r="A2324" s="9" t="str">
        <f>"10362107812"</f>
        <v>10362107812</v>
      </c>
      <c r="B2324" s="10">
        <v>0</v>
      </c>
      <c r="C2324" s="9"/>
      <c r="D2324" s="9">
        <f t="shared" si="36"/>
        <v>0</v>
      </c>
      <c r="E2324" s="11"/>
      <c r="F2324" s="9" t="s">
        <v>7</v>
      </c>
    </row>
    <row r="2325" s="1" customFormat="1" customHeight="1" spans="1:6">
      <c r="A2325" s="9" t="str">
        <f>"10082107813"</f>
        <v>10082107813</v>
      </c>
      <c r="B2325" s="10">
        <v>50.11</v>
      </c>
      <c r="C2325" s="9"/>
      <c r="D2325" s="9">
        <f t="shared" si="36"/>
        <v>50.11</v>
      </c>
      <c r="E2325" s="11"/>
      <c r="F2325" s="9"/>
    </row>
    <row r="2326" s="1" customFormat="1" customHeight="1" spans="1:6">
      <c r="A2326" s="9" t="str">
        <f>"10362107814"</f>
        <v>10362107814</v>
      </c>
      <c r="B2326" s="10">
        <v>27.8</v>
      </c>
      <c r="C2326" s="9"/>
      <c r="D2326" s="9">
        <f t="shared" si="36"/>
        <v>27.8</v>
      </c>
      <c r="E2326" s="11"/>
      <c r="F2326" s="9"/>
    </row>
    <row r="2327" s="1" customFormat="1" customHeight="1" spans="1:6">
      <c r="A2327" s="9" t="str">
        <f>"10292107815"</f>
        <v>10292107815</v>
      </c>
      <c r="B2327" s="10">
        <v>37.81</v>
      </c>
      <c r="C2327" s="9"/>
      <c r="D2327" s="9">
        <f t="shared" si="36"/>
        <v>37.81</v>
      </c>
      <c r="E2327" s="11"/>
      <c r="F2327" s="9"/>
    </row>
    <row r="2328" s="1" customFormat="1" customHeight="1" spans="1:6">
      <c r="A2328" s="9" t="str">
        <f>"10392107816"</f>
        <v>10392107816</v>
      </c>
      <c r="B2328" s="10">
        <v>39.17</v>
      </c>
      <c r="C2328" s="9"/>
      <c r="D2328" s="9">
        <f t="shared" si="36"/>
        <v>39.17</v>
      </c>
      <c r="E2328" s="11"/>
      <c r="F2328" s="9"/>
    </row>
    <row r="2329" s="1" customFormat="1" customHeight="1" spans="1:6">
      <c r="A2329" s="9" t="str">
        <f>"10442107817"</f>
        <v>10442107817</v>
      </c>
      <c r="B2329" s="10">
        <v>37.69</v>
      </c>
      <c r="C2329" s="9"/>
      <c r="D2329" s="9">
        <f t="shared" si="36"/>
        <v>37.69</v>
      </c>
      <c r="E2329" s="11"/>
      <c r="F2329" s="9"/>
    </row>
    <row r="2330" s="1" customFormat="1" customHeight="1" spans="1:6">
      <c r="A2330" s="9" t="str">
        <f>"10152107818"</f>
        <v>10152107818</v>
      </c>
      <c r="B2330" s="10">
        <v>41.38</v>
      </c>
      <c r="C2330" s="9"/>
      <c r="D2330" s="9">
        <f t="shared" si="36"/>
        <v>41.38</v>
      </c>
      <c r="E2330" s="11"/>
      <c r="F2330" s="9"/>
    </row>
    <row r="2331" s="1" customFormat="1" customHeight="1" spans="1:6">
      <c r="A2331" s="9" t="str">
        <f>"10332107819"</f>
        <v>10332107819</v>
      </c>
      <c r="B2331" s="10">
        <v>39.34</v>
      </c>
      <c r="C2331" s="9"/>
      <c r="D2331" s="9">
        <f t="shared" si="36"/>
        <v>39.34</v>
      </c>
      <c r="E2331" s="11"/>
      <c r="F2331" s="9"/>
    </row>
    <row r="2332" s="1" customFormat="1" customHeight="1" spans="1:6">
      <c r="A2332" s="9" t="str">
        <f>"10362107820"</f>
        <v>10362107820</v>
      </c>
      <c r="B2332" s="10">
        <v>38.11</v>
      </c>
      <c r="C2332" s="9"/>
      <c r="D2332" s="9">
        <f t="shared" si="36"/>
        <v>38.11</v>
      </c>
      <c r="E2332" s="11"/>
      <c r="F2332" s="9"/>
    </row>
    <row r="2333" s="1" customFormat="1" customHeight="1" spans="1:6">
      <c r="A2333" s="9" t="str">
        <f>"10362107821"</f>
        <v>10362107821</v>
      </c>
      <c r="B2333" s="10">
        <v>0</v>
      </c>
      <c r="C2333" s="9"/>
      <c r="D2333" s="9">
        <f t="shared" si="36"/>
        <v>0</v>
      </c>
      <c r="E2333" s="11"/>
      <c r="F2333" s="9" t="s">
        <v>7</v>
      </c>
    </row>
    <row r="2334" s="1" customFormat="1" customHeight="1" spans="1:6">
      <c r="A2334" s="9" t="str">
        <f>"10272107822"</f>
        <v>10272107822</v>
      </c>
      <c r="B2334" s="10">
        <v>54.46</v>
      </c>
      <c r="C2334" s="9"/>
      <c r="D2334" s="9">
        <f t="shared" si="36"/>
        <v>54.46</v>
      </c>
      <c r="E2334" s="11"/>
      <c r="F2334" s="9"/>
    </row>
    <row r="2335" s="1" customFormat="1" customHeight="1" spans="1:6">
      <c r="A2335" s="9" t="str">
        <f>"10052107823"</f>
        <v>10052107823</v>
      </c>
      <c r="B2335" s="10">
        <v>0</v>
      </c>
      <c r="C2335" s="9"/>
      <c r="D2335" s="9">
        <f t="shared" si="36"/>
        <v>0</v>
      </c>
      <c r="E2335" s="11"/>
      <c r="F2335" s="9" t="s">
        <v>7</v>
      </c>
    </row>
    <row r="2336" s="1" customFormat="1" customHeight="1" spans="1:6">
      <c r="A2336" s="9" t="str">
        <f>"10442107824"</f>
        <v>10442107824</v>
      </c>
      <c r="B2336" s="10">
        <v>42.14</v>
      </c>
      <c r="C2336" s="9"/>
      <c r="D2336" s="9">
        <f t="shared" si="36"/>
        <v>42.14</v>
      </c>
      <c r="E2336" s="11"/>
      <c r="F2336" s="9"/>
    </row>
    <row r="2337" s="1" customFormat="1" customHeight="1" spans="1:6">
      <c r="A2337" s="9" t="str">
        <f>"10362107825"</f>
        <v>10362107825</v>
      </c>
      <c r="B2337" s="10">
        <v>39.53</v>
      </c>
      <c r="C2337" s="9"/>
      <c r="D2337" s="9">
        <f t="shared" si="36"/>
        <v>39.53</v>
      </c>
      <c r="E2337" s="11"/>
      <c r="F2337" s="9"/>
    </row>
    <row r="2338" s="1" customFormat="1" customHeight="1" spans="1:6">
      <c r="A2338" s="9" t="str">
        <f>"10112107826"</f>
        <v>10112107826</v>
      </c>
      <c r="B2338" s="10">
        <v>32.98</v>
      </c>
      <c r="C2338" s="9"/>
      <c r="D2338" s="9">
        <f t="shared" si="36"/>
        <v>32.98</v>
      </c>
      <c r="E2338" s="11"/>
      <c r="F2338" s="9"/>
    </row>
    <row r="2339" s="1" customFormat="1" customHeight="1" spans="1:6">
      <c r="A2339" s="9" t="str">
        <f>"10462107827"</f>
        <v>10462107827</v>
      </c>
      <c r="B2339" s="10">
        <v>31.29</v>
      </c>
      <c r="C2339" s="9"/>
      <c r="D2339" s="9">
        <f t="shared" si="36"/>
        <v>31.29</v>
      </c>
      <c r="E2339" s="11"/>
      <c r="F2339" s="9"/>
    </row>
    <row r="2340" s="1" customFormat="1" customHeight="1" spans="1:6">
      <c r="A2340" s="9" t="str">
        <f>"10362107828"</f>
        <v>10362107828</v>
      </c>
      <c r="B2340" s="10">
        <v>0</v>
      </c>
      <c r="C2340" s="9"/>
      <c r="D2340" s="9">
        <f t="shared" si="36"/>
        <v>0</v>
      </c>
      <c r="E2340" s="11"/>
      <c r="F2340" s="9" t="s">
        <v>7</v>
      </c>
    </row>
    <row r="2341" s="1" customFormat="1" customHeight="1" spans="1:6">
      <c r="A2341" s="9" t="str">
        <f>"10362107829"</f>
        <v>10362107829</v>
      </c>
      <c r="B2341" s="10">
        <v>32.02</v>
      </c>
      <c r="C2341" s="9"/>
      <c r="D2341" s="9">
        <f t="shared" si="36"/>
        <v>32.02</v>
      </c>
      <c r="E2341" s="11"/>
      <c r="F2341" s="9"/>
    </row>
    <row r="2342" s="1" customFormat="1" customHeight="1" spans="1:6">
      <c r="A2342" s="9" t="str">
        <f>"10102107830"</f>
        <v>10102107830</v>
      </c>
      <c r="B2342" s="10">
        <v>36.82</v>
      </c>
      <c r="C2342" s="9"/>
      <c r="D2342" s="9">
        <f t="shared" si="36"/>
        <v>36.82</v>
      </c>
      <c r="E2342" s="11"/>
      <c r="F2342" s="9"/>
    </row>
    <row r="2343" s="1" customFormat="1" customHeight="1" spans="1:6">
      <c r="A2343" s="9" t="str">
        <f>"10062107901"</f>
        <v>10062107901</v>
      </c>
      <c r="B2343" s="10">
        <v>0</v>
      </c>
      <c r="C2343" s="9"/>
      <c r="D2343" s="9">
        <f t="shared" si="36"/>
        <v>0</v>
      </c>
      <c r="E2343" s="11"/>
      <c r="F2343" s="9" t="s">
        <v>7</v>
      </c>
    </row>
    <row r="2344" s="1" customFormat="1" customHeight="1" spans="1:6">
      <c r="A2344" s="9" t="str">
        <f>"10282107902"</f>
        <v>10282107902</v>
      </c>
      <c r="B2344" s="10">
        <v>42.02</v>
      </c>
      <c r="C2344" s="9"/>
      <c r="D2344" s="9">
        <f t="shared" si="36"/>
        <v>42.02</v>
      </c>
      <c r="E2344" s="11"/>
      <c r="F2344" s="9"/>
    </row>
    <row r="2345" s="1" customFormat="1" customHeight="1" spans="1:6">
      <c r="A2345" s="9" t="str">
        <f>"10112107903"</f>
        <v>10112107903</v>
      </c>
      <c r="B2345" s="10">
        <v>39.26</v>
      </c>
      <c r="C2345" s="9"/>
      <c r="D2345" s="9">
        <f t="shared" si="36"/>
        <v>39.26</v>
      </c>
      <c r="E2345" s="11"/>
      <c r="F2345" s="9"/>
    </row>
    <row r="2346" s="1" customFormat="1" customHeight="1" spans="1:6">
      <c r="A2346" s="9" t="str">
        <f>"10502107904"</f>
        <v>10502107904</v>
      </c>
      <c r="B2346" s="10">
        <v>32.12</v>
      </c>
      <c r="C2346" s="9"/>
      <c r="D2346" s="9">
        <f t="shared" si="36"/>
        <v>32.12</v>
      </c>
      <c r="E2346" s="11"/>
      <c r="F2346" s="9"/>
    </row>
    <row r="2347" s="1" customFormat="1" customHeight="1" spans="1:6">
      <c r="A2347" s="9" t="str">
        <f>"10482107905"</f>
        <v>10482107905</v>
      </c>
      <c r="B2347" s="10">
        <v>0</v>
      </c>
      <c r="C2347" s="9"/>
      <c r="D2347" s="9">
        <f t="shared" si="36"/>
        <v>0</v>
      </c>
      <c r="E2347" s="11"/>
      <c r="F2347" s="9" t="s">
        <v>7</v>
      </c>
    </row>
    <row r="2348" s="1" customFormat="1" customHeight="1" spans="1:6">
      <c r="A2348" s="9" t="str">
        <f>"10062107906"</f>
        <v>10062107906</v>
      </c>
      <c r="B2348" s="10">
        <v>0</v>
      </c>
      <c r="C2348" s="9"/>
      <c r="D2348" s="9">
        <f t="shared" si="36"/>
        <v>0</v>
      </c>
      <c r="E2348" s="11"/>
      <c r="F2348" s="9" t="s">
        <v>7</v>
      </c>
    </row>
    <row r="2349" s="1" customFormat="1" customHeight="1" spans="1:6">
      <c r="A2349" s="9" t="str">
        <f>"10102107907"</f>
        <v>10102107907</v>
      </c>
      <c r="B2349" s="10">
        <v>39.5</v>
      </c>
      <c r="C2349" s="9"/>
      <c r="D2349" s="9">
        <f t="shared" si="36"/>
        <v>39.5</v>
      </c>
      <c r="E2349" s="11"/>
      <c r="F2349" s="9"/>
    </row>
    <row r="2350" s="1" customFormat="1" customHeight="1" spans="1:6">
      <c r="A2350" s="9" t="str">
        <f>"10142107908"</f>
        <v>10142107908</v>
      </c>
      <c r="B2350" s="10">
        <v>0</v>
      </c>
      <c r="C2350" s="9"/>
      <c r="D2350" s="9">
        <f t="shared" si="36"/>
        <v>0</v>
      </c>
      <c r="E2350" s="11"/>
      <c r="F2350" s="9" t="s">
        <v>7</v>
      </c>
    </row>
    <row r="2351" s="1" customFormat="1" customHeight="1" spans="1:6">
      <c r="A2351" s="9" t="str">
        <f>"10442107909"</f>
        <v>10442107909</v>
      </c>
      <c r="B2351" s="10">
        <v>36.6</v>
      </c>
      <c r="C2351" s="9"/>
      <c r="D2351" s="9">
        <f t="shared" si="36"/>
        <v>36.6</v>
      </c>
      <c r="E2351" s="11"/>
      <c r="F2351" s="9"/>
    </row>
    <row r="2352" s="1" customFormat="1" customHeight="1" spans="1:6">
      <c r="A2352" s="9" t="str">
        <f>"10432107910"</f>
        <v>10432107910</v>
      </c>
      <c r="B2352" s="10">
        <v>48.68</v>
      </c>
      <c r="C2352" s="9"/>
      <c r="D2352" s="9">
        <f t="shared" si="36"/>
        <v>48.68</v>
      </c>
      <c r="E2352" s="11"/>
      <c r="F2352" s="9"/>
    </row>
    <row r="2353" s="1" customFormat="1" customHeight="1" spans="1:6">
      <c r="A2353" s="9" t="str">
        <f>"10302107911"</f>
        <v>10302107911</v>
      </c>
      <c r="B2353" s="10">
        <v>40.73</v>
      </c>
      <c r="C2353" s="9"/>
      <c r="D2353" s="9">
        <f t="shared" si="36"/>
        <v>40.73</v>
      </c>
      <c r="E2353" s="11"/>
      <c r="F2353" s="9"/>
    </row>
    <row r="2354" s="1" customFormat="1" customHeight="1" spans="1:6">
      <c r="A2354" s="9" t="str">
        <f>"10382107912"</f>
        <v>10382107912</v>
      </c>
      <c r="B2354" s="10">
        <v>0</v>
      </c>
      <c r="C2354" s="9"/>
      <c r="D2354" s="9">
        <f t="shared" si="36"/>
        <v>0</v>
      </c>
      <c r="E2354" s="11"/>
      <c r="F2354" s="9" t="s">
        <v>7</v>
      </c>
    </row>
    <row r="2355" s="1" customFormat="1" customHeight="1" spans="1:6">
      <c r="A2355" s="9" t="str">
        <f>"10362107913"</f>
        <v>10362107913</v>
      </c>
      <c r="B2355" s="10">
        <v>29.05</v>
      </c>
      <c r="C2355" s="9"/>
      <c r="D2355" s="9">
        <f t="shared" si="36"/>
        <v>29.05</v>
      </c>
      <c r="E2355" s="11"/>
      <c r="F2355" s="9"/>
    </row>
    <row r="2356" s="1" customFormat="1" customHeight="1" spans="1:6">
      <c r="A2356" s="9" t="str">
        <f>"10362107914"</f>
        <v>10362107914</v>
      </c>
      <c r="B2356" s="10">
        <v>36.49</v>
      </c>
      <c r="C2356" s="9"/>
      <c r="D2356" s="9">
        <f t="shared" si="36"/>
        <v>36.49</v>
      </c>
      <c r="E2356" s="11"/>
      <c r="F2356" s="9"/>
    </row>
    <row r="2357" s="1" customFormat="1" customHeight="1" spans="1:6">
      <c r="A2357" s="9" t="str">
        <f>"10322107915"</f>
        <v>10322107915</v>
      </c>
      <c r="B2357" s="10">
        <v>43.52</v>
      </c>
      <c r="C2357" s="9"/>
      <c r="D2357" s="9">
        <f t="shared" si="36"/>
        <v>43.52</v>
      </c>
      <c r="E2357" s="11"/>
      <c r="F2357" s="9"/>
    </row>
    <row r="2358" s="1" customFormat="1" customHeight="1" spans="1:6">
      <c r="A2358" s="9" t="str">
        <f>"10362107916"</f>
        <v>10362107916</v>
      </c>
      <c r="B2358" s="10">
        <v>0</v>
      </c>
      <c r="C2358" s="9"/>
      <c r="D2358" s="9">
        <f t="shared" si="36"/>
        <v>0</v>
      </c>
      <c r="E2358" s="11"/>
      <c r="F2358" s="9" t="s">
        <v>7</v>
      </c>
    </row>
    <row r="2359" s="1" customFormat="1" customHeight="1" spans="1:6">
      <c r="A2359" s="9" t="str">
        <f>"20272107917"</f>
        <v>20272107917</v>
      </c>
      <c r="B2359" s="10">
        <v>45.73</v>
      </c>
      <c r="C2359" s="9"/>
      <c r="D2359" s="9">
        <f t="shared" si="36"/>
        <v>45.73</v>
      </c>
      <c r="E2359" s="11"/>
      <c r="F2359" s="9"/>
    </row>
    <row r="2360" s="1" customFormat="1" customHeight="1" spans="1:6">
      <c r="A2360" s="9" t="str">
        <f>"10532107918"</f>
        <v>10532107918</v>
      </c>
      <c r="B2360" s="10">
        <v>0</v>
      </c>
      <c r="C2360" s="9"/>
      <c r="D2360" s="9">
        <f t="shared" si="36"/>
        <v>0</v>
      </c>
      <c r="E2360" s="11"/>
      <c r="F2360" s="9" t="s">
        <v>7</v>
      </c>
    </row>
    <row r="2361" s="1" customFormat="1" customHeight="1" spans="1:6">
      <c r="A2361" s="9" t="str">
        <f>"10132107919"</f>
        <v>10132107919</v>
      </c>
      <c r="B2361" s="10">
        <v>38.67</v>
      </c>
      <c r="C2361" s="9"/>
      <c r="D2361" s="9">
        <f t="shared" si="36"/>
        <v>38.67</v>
      </c>
      <c r="E2361" s="11"/>
      <c r="F2361" s="9"/>
    </row>
    <row r="2362" s="1" customFormat="1" customHeight="1" spans="1:6">
      <c r="A2362" s="9" t="str">
        <f>"10062107920"</f>
        <v>10062107920</v>
      </c>
      <c r="B2362" s="10">
        <v>42.51</v>
      </c>
      <c r="C2362" s="9"/>
      <c r="D2362" s="9">
        <f t="shared" si="36"/>
        <v>42.51</v>
      </c>
      <c r="E2362" s="11"/>
      <c r="F2362" s="9"/>
    </row>
    <row r="2363" s="1" customFormat="1" customHeight="1" spans="1:6">
      <c r="A2363" s="9" t="str">
        <f>"10362107921"</f>
        <v>10362107921</v>
      </c>
      <c r="B2363" s="10">
        <v>33.94</v>
      </c>
      <c r="C2363" s="9"/>
      <c r="D2363" s="9">
        <f t="shared" si="36"/>
        <v>33.94</v>
      </c>
      <c r="E2363" s="11"/>
      <c r="F2363" s="9"/>
    </row>
    <row r="2364" s="1" customFormat="1" customHeight="1" spans="1:6">
      <c r="A2364" s="9" t="str">
        <f>"20272107922"</f>
        <v>20272107922</v>
      </c>
      <c r="B2364" s="10">
        <v>36.72</v>
      </c>
      <c r="C2364" s="9"/>
      <c r="D2364" s="9">
        <f t="shared" si="36"/>
        <v>36.72</v>
      </c>
      <c r="E2364" s="11"/>
      <c r="F2364" s="9"/>
    </row>
    <row r="2365" s="1" customFormat="1" customHeight="1" spans="1:6">
      <c r="A2365" s="9" t="str">
        <f>"10362107923"</f>
        <v>10362107923</v>
      </c>
      <c r="B2365" s="10">
        <v>32.34</v>
      </c>
      <c r="C2365" s="9"/>
      <c r="D2365" s="9">
        <f t="shared" si="36"/>
        <v>32.34</v>
      </c>
      <c r="E2365" s="11"/>
      <c r="F2365" s="9"/>
    </row>
    <row r="2366" s="1" customFormat="1" customHeight="1" spans="1:6">
      <c r="A2366" s="9" t="str">
        <f>"10362107924"</f>
        <v>10362107924</v>
      </c>
      <c r="B2366" s="10">
        <v>0</v>
      </c>
      <c r="C2366" s="9"/>
      <c r="D2366" s="9">
        <f t="shared" si="36"/>
        <v>0</v>
      </c>
      <c r="E2366" s="11"/>
      <c r="F2366" s="9" t="s">
        <v>7</v>
      </c>
    </row>
    <row r="2367" s="1" customFormat="1" customHeight="1" spans="1:6">
      <c r="A2367" s="9" t="str">
        <f>"10132107925"</f>
        <v>10132107925</v>
      </c>
      <c r="B2367" s="10">
        <v>34.75</v>
      </c>
      <c r="C2367" s="9"/>
      <c r="D2367" s="9">
        <f t="shared" si="36"/>
        <v>34.75</v>
      </c>
      <c r="E2367" s="11"/>
      <c r="F2367" s="9"/>
    </row>
    <row r="2368" s="1" customFormat="1" customHeight="1" spans="1:6">
      <c r="A2368" s="9" t="str">
        <f>"10082107926"</f>
        <v>10082107926</v>
      </c>
      <c r="B2368" s="10">
        <v>35.6</v>
      </c>
      <c r="C2368" s="9"/>
      <c r="D2368" s="9">
        <f t="shared" si="36"/>
        <v>35.6</v>
      </c>
      <c r="E2368" s="11"/>
      <c r="F2368" s="9"/>
    </row>
    <row r="2369" s="1" customFormat="1" customHeight="1" spans="1:6">
      <c r="A2369" s="9" t="str">
        <f>"10362107927"</f>
        <v>10362107927</v>
      </c>
      <c r="B2369" s="10">
        <v>45.62</v>
      </c>
      <c r="C2369" s="9"/>
      <c r="D2369" s="9">
        <f t="shared" si="36"/>
        <v>45.62</v>
      </c>
      <c r="E2369" s="11"/>
      <c r="F2369" s="9"/>
    </row>
    <row r="2370" s="1" customFormat="1" customHeight="1" spans="1:6">
      <c r="A2370" s="9" t="str">
        <f>"10082107928"</f>
        <v>10082107928</v>
      </c>
      <c r="B2370" s="10">
        <v>39.29</v>
      </c>
      <c r="C2370" s="9"/>
      <c r="D2370" s="9">
        <f t="shared" si="36"/>
        <v>39.29</v>
      </c>
      <c r="E2370" s="11"/>
      <c r="F2370" s="9"/>
    </row>
    <row r="2371" s="1" customFormat="1" customHeight="1" spans="1:6">
      <c r="A2371" s="9" t="str">
        <f>"10522107929"</f>
        <v>10522107929</v>
      </c>
      <c r="B2371" s="10">
        <v>0</v>
      </c>
      <c r="C2371" s="9"/>
      <c r="D2371" s="9">
        <f t="shared" ref="D2371:D2434" si="37">SUM(B2371:C2371)</f>
        <v>0</v>
      </c>
      <c r="E2371" s="11"/>
      <c r="F2371" s="9" t="s">
        <v>7</v>
      </c>
    </row>
    <row r="2372" s="1" customFormat="1" customHeight="1" spans="1:6">
      <c r="A2372" s="9" t="str">
        <f>"10482107930"</f>
        <v>10482107930</v>
      </c>
      <c r="B2372" s="10">
        <v>0</v>
      </c>
      <c r="C2372" s="9"/>
      <c r="D2372" s="9">
        <f t="shared" si="37"/>
        <v>0</v>
      </c>
      <c r="E2372" s="11"/>
      <c r="F2372" s="9" t="s">
        <v>7</v>
      </c>
    </row>
    <row r="2373" s="1" customFormat="1" customHeight="1" spans="1:6">
      <c r="A2373" s="9" t="str">
        <f>"10302108001"</f>
        <v>10302108001</v>
      </c>
      <c r="B2373" s="10">
        <v>46.88</v>
      </c>
      <c r="C2373" s="9"/>
      <c r="D2373" s="9">
        <f t="shared" si="37"/>
        <v>46.88</v>
      </c>
      <c r="E2373" s="11"/>
      <c r="F2373" s="9"/>
    </row>
    <row r="2374" s="1" customFormat="1" customHeight="1" spans="1:6">
      <c r="A2374" s="9" t="str">
        <f>"10122108002"</f>
        <v>10122108002</v>
      </c>
      <c r="B2374" s="10">
        <v>0</v>
      </c>
      <c r="C2374" s="9"/>
      <c r="D2374" s="9">
        <f t="shared" si="37"/>
        <v>0</v>
      </c>
      <c r="E2374" s="11"/>
      <c r="F2374" s="9" t="s">
        <v>7</v>
      </c>
    </row>
    <row r="2375" s="1" customFormat="1" customHeight="1" spans="1:6">
      <c r="A2375" s="9" t="str">
        <f>"10332108003"</f>
        <v>10332108003</v>
      </c>
      <c r="B2375" s="10">
        <v>47.77</v>
      </c>
      <c r="C2375" s="9"/>
      <c r="D2375" s="9">
        <f t="shared" si="37"/>
        <v>47.77</v>
      </c>
      <c r="E2375" s="11"/>
      <c r="F2375" s="9"/>
    </row>
    <row r="2376" s="1" customFormat="1" customHeight="1" spans="1:6">
      <c r="A2376" s="9" t="str">
        <f>"10532108004"</f>
        <v>10532108004</v>
      </c>
      <c r="B2376" s="10">
        <v>35.77</v>
      </c>
      <c r="C2376" s="9"/>
      <c r="D2376" s="9">
        <f t="shared" si="37"/>
        <v>35.77</v>
      </c>
      <c r="E2376" s="11"/>
      <c r="F2376" s="9"/>
    </row>
    <row r="2377" s="1" customFormat="1" customHeight="1" spans="1:6">
      <c r="A2377" s="9" t="str">
        <f>"10332108005"</f>
        <v>10332108005</v>
      </c>
      <c r="B2377" s="10">
        <v>42.78</v>
      </c>
      <c r="C2377" s="9"/>
      <c r="D2377" s="9">
        <f t="shared" si="37"/>
        <v>42.78</v>
      </c>
      <c r="E2377" s="11"/>
      <c r="F2377" s="9"/>
    </row>
    <row r="2378" s="1" customFormat="1" customHeight="1" spans="1:6">
      <c r="A2378" s="9" t="str">
        <f>"10362108006"</f>
        <v>10362108006</v>
      </c>
      <c r="B2378" s="10">
        <v>43.22</v>
      </c>
      <c r="C2378" s="9"/>
      <c r="D2378" s="9">
        <f t="shared" si="37"/>
        <v>43.22</v>
      </c>
      <c r="E2378" s="11"/>
      <c r="F2378" s="9"/>
    </row>
    <row r="2379" s="1" customFormat="1" customHeight="1" spans="1:6">
      <c r="A2379" s="9" t="str">
        <f>"10522108007"</f>
        <v>10522108007</v>
      </c>
      <c r="B2379" s="10">
        <v>36.66</v>
      </c>
      <c r="C2379" s="9"/>
      <c r="D2379" s="9">
        <f t="shared" si="37"/>
        <v>36.66</v>
      </c>
      <c r="E2379" s="11"/>
      <c r="F2379" s="9"/>
    </row>
    <row r="2380" s="1" customFormat="1" customHeight="1" spans="1:6">
      <c r="A2380" s="9" t="str">
        <f>"10322108008"</f>
        <v>10322108008</v>
      </c>
      <c r="B2380" s="10">
        <v>37.71</v>
      </c>
      <c r="C2380" s="9"/>
      <c r="D2380" s="9">
        <f t="shared" si="37"/>
        <v>37.71</v>
      </c>
      <c r="E2380" s="11"/>
      <c r="F2380" s="9"/>
    </row>
    <row r="2381" s="1" customFormat="1" customHeight="1" spans="1:6">
      <c r="A2381" s="9" t="str">
        <f>"10362108009"</f>
        <v>10362108009</v>
      </c>
      <c r="B2381" s="10">
        <v>0</v>
      </c>
      <c r="C2381" s="9"/>
      <c r="D2381" s="9">
        <f t="shared" si="37"/>
        <v>0</v>
      </c>
      <c r="E2381" s="11"/>
      <c r="F2381" s="9" t="s">
        <v>7</v>
      </c>
    </row>
    <row r="2382" s="1" customFormat="1" customHeight="1" spans="1:6">
      <c r="A2382" s="9" t="str">
        <f>"10012108010"</f>
        <v>10012108010</v>
      </c>
      <c r="B2382" s="10">
        <v>39.21</v>
      </c>
      <c r="C2382" s="9"/>
      <c r="D2382" s="9">
        <f t="shared" si="37"/>
        <v>39.21</v>
      </c>
      <c r="E2382" s="11"/>
      <c r="F2382" s="9"/>
    </row>
    <row r="2383" s="1" customFormat="1" customHeight="1" spans="1:6">
      <c r="A2383" s="9" t="str">
        <f>"10442108011"</f>
        <v>10442108011</v>
      </c>
      <c r="B2383" s="10">
        <v>45.82</v>
      </c>
      <c r="C2383" s="9"/>
      <c r="D2383" s="9">
        <f t="shared" si="37"/>
        <v>45.82</v>
      </c>
      <c r="E2383" s="11"/>
      <c r="F2383" s="9"/>
    </row>
    <row r="2384" s="1" customFormat="1" customHeight="1" spans="1:6">
      <c r="A2384" s="9" t="str">
        <f>"10362108012"</f>
        <v>10362108012</v>
      </c>
      <c r="B2384" s="10">
        <v>45.27</v>
      </c>
      <c r="C2384" s="9"/>
      <c r="D2384" s="9">
        <f t="shared" si="37"/>
        <v>45.27</v>
      </c>
      <c r="E2384" s="11"/>
      <c r="F2384" s="9"/>
    </row>
    <row r="2385" s="1" customFormat="1" customHeight="1" spans="1:6">
      <c r="A2385" s="9" t="str">
        <f>"10532108013"</f>
        <v>10532108013</v>
      </c>
      <c r="B2385" s="10">
        <v>35.46</v>
      </c>
      <c r="C2385" s="9"/>
      <c r="D2385" s="9">
        <f t="shared" si="37"/>
        <v>35.46</v>
      </c>
      <c r="E2385" s="11"/>
      <c r="F2385" s="9"/>
    </row>
    <row r="2386" s="1" customFormat="1" customHeight="1" spans="1:6">
      <c r="A2386" s="9" t="str">
        <f>"10532108014"</f>
        <v>10532108014</v>
      </c>
      <c r="B2386" s="10">
        <v>32.72</v>
      </c>
      <c r="C2386" s="9"/>
      <c r="D2386" s="9">
        <f t="shared" si="37"/>
        <v>32.72</v>
      </c>
      <c r="E2386" s="11"/>
      <c r="F2386" s="9"/>
    </row>
    <row r="2387" s="1" customFormat="1" customHeight="1" spans="1:6">
      <c r="A2387" s="9" t="str">
        <f>"10362108015"</f>
        <v>10362108015</v>
      </c>
      <c r="B2387" s="10">
        <v>36.86</v>
      </c>
      <c r="C2387" s="9"/>
      <c r="D2387" s="9">
        <f t="shared" si="37"/>
        <v>36.86</v>
      </c>
      <c r="E2387" s="11"/>
      <c r="F2387" s="9"/>
    </row>
    <row r="2388" s="1" customFormat="1" customHeight="1" spans="1:6">
      <c r="A2388" s="9" t="str">
        <f>"10302108016"</f>
        <v>10302108016</v>
      </c>
      <c r="B2388" s="10">
        <v>33.72</v>
      </c>
      <c r="C2388" s="9"/>
      <c r="D2388" s="9">
        <f t="shared" si="37"/>
        <v>33.72</v>
      </c>
      <c r="E2388" s="11"/>
      <c r="F2388" s="9"/>
    </row>
    <row r="2389" s="1" customFormat="1" customHeight="1" spans="1:6">
      <c r="A2389" s="9" t="str">
        <f>"10302108017"</f>
        <v>10302108017</v>
      </c>
      <c r="B2389" s="10">
        <v>49.17</v>
      </c>
      <c r="C2389" s="9"/>
      <c r="D2389" s="9">
        <f t="shared" si="37"/>
        <v>49.17</v>
      </c>
      <c r="E2389" s="11"/>
      <c r="F2389" s="9"/>
    </row>
    <row r="2390" s="1" customFormat="1" customHeight="1" spans="1:6">
      <c r="A2390" s="9" t="str">
        <f>"10212108018"</f>
        <v>10212108018</v>
      </c>
      <c r="B2390" s="10">
        <v>0</v>
      </c>
      <c r="C2390" s="9"/>
      <c r="D2390" s="9">
        <f t="shared" si="37"/>
        <v>0</v>
      </c>
      <c r="E2390" s="11"/>
      <c r="F2390" s="9" t="s">
        <v>7</v>
      </c>
    </row>
    <row r="2391" s="1" customFormat="1" customHeight="1" spans="1:6">
      <c r="A2391" s="9" t="str">
        <f>"10292108019"</f>
        <v>10292108019</v>
      </c>
      <c r="B2391" s="10">
        <v>38.26</v>
      </c>
      <c r="C2391" s="9"/>
      <c r="D2391" s="9">
        <f t="shared" si="37"/>
        <v>38.26</v>
      </c>
      <c r="E2391" s="11"/>
      <c r="F2391" s="9"/>
    </row>
    <row r="2392" s="1" customFormat="1" customHeight="1" spans="1:6">
      <c r="A2392" s="9" t="str">
        <f>"10382108020"</f>
        <v>10382108020</v>
      </c>
      <c r="B2392" s="10">
        <v>38.67</v>
      </c>
      <c r="C2392" s="9"/>
      <c r="D2392" s="9">
        <f t="shared" si="37"/>
        <v>38.67</v>
      </c>
      <c r="E2392" s="11"/>
      <c r="F2392" s="9"/>
    </row>
    <row r="2393" s="1" customFormat="1" customHeight="1" spans="1:6">
      <c r="A2393" s="9" t="str">
        <f>"10292108021"</f>
        <v>10292108021</v>
      </c>
      <c r="B2393" s="10">
        <v>47.67</v>
      </c>
      <c r="C2393" s="9"/>
      <c r="D2393" s="9">
        <f t="shared" si="37"/>
        <v>47.67</v>
      </c>
      <c r="E2393" s="11"/>
      <c r="F2393" s="9"/>
    </row>
    <row r="2394" s="1" customFormat="1" customHeight="1" spans="1:6">
      <c r="A2394" s="9" t="str">
        <f>"10012108022"</f>
        <v>10012108022</v>
      </c>
      <c r="B2394" s="10">
        <v>50.5</v>
      </c>
      <c r="C2394" s="9"/>
      <c r="D2394" s="9">
        <f t="shared" si="37"/>
        <v>50.5</v>
      </c>
      <c r="E2394" s="11"/>
      <c r="F2394" s="9"/>
    </row>
    <row r="2395" s="1" customFormat="1" customHeight="1" spans="1:6">
      <c r="A2395" s="9" t="str">
        <f>"10192108023"</f>
        <v>10192108023</v>
      </c>
      <c r="B2395" s="10">
        <v>36.78</v>
      </c>
      <c r="C2395" s="9"/>
      <c r="D2395" s="9">
        <f t="shared" si="37"/>
        <v>36.78</v>
      </c>
      <c r="E2395" s="11"/>
      <c r="F2395" s="9"/>
    </row>
    <row r="2396" s="1" customFormat="1" customHeight="1" spans="1:6">
      <c r="A2396" s="9" t="str">
        <f>"10162108024"</f>
        <v>10162108024</v>
      </c>
      <c r="B2396" s="10">
        <v>0</v>
      </c>
      <c r="C2396" s="9"/>
      <c r="D2396" s="9">
        <f t="shared" si="37"/>
        <v>0</v>
      </c>
      <c r="E2396" s="11"/>
      <c r="F2396" s="9" t="s">
        <v>7</v>
      </c>
    </row>
    <row r="2397" s="1" customFormat="1" customHeight="1" spans="1:6">
      <c r="A2397" s="9" t="str">
        <f>"10212108025"</f>
        <v>10212108025</v>
      </c>
      <c r="B2397" s="10">
        <v>43.84</v>
      </c>
      <c r="C2397" s="9"/>
      <c r="D2397" s="9">
        <f t="shared" si="37"/>
        <v>43.84</v>
      </c>
      <c r="E2397" s="11"/>
      <c r="F2397" s="9"/>
    </row>
    <row r="2398" s="1" customFormat="1" customHeight="1" spans="1:6">
      <c r="A2398" s="9" t="str">
        <f>"10332108026"</f>
        <v>10332108026</v>
      </c>
      <c r="B2398" s="10">
        <v>0</v>
      </c>
      <c r="C2398" s="9"/>
      <c r="D2398" s="9">
        <f t="shared" si="37"/>
        <v>0</v>
      </c>
      <c r="E2398" s="11"/>
      <c r="F2398" s="9" t="s">
        <v>7</v>
      </c>
    </row>
    <row r="2399" s="1" customFormat="1" customHeight="1" spans="1:6">
      <c r="A2399" s="9" t="str">
        <f>"10382108027"</f>
        <v>10382108027</v>
      </c>
      <c r="B2399" s="10">
        <v>48.6</v>
      </c>
      <c r="C2399" s="9"/>
      <c r="D2399" s="9">
        <f t="shared" si="37"/>
        <v>48.6</v>
      </c>
      <c r="E2399" s="11"/>
      <c r="F2399" s="9"/>
    </row>
    <row r="2400" s="1" customFormat="1" customHeight="1" spans="1:6">
      <c r="A2400" s="9" t="str">
        <f>"10152108028"</f>
        <v>10152108028</v>
      </c>
      <c r="B2400" s="10">
        <v>49.67</v>
      </c>
      <c r="C2400" s="9"/>
      <c r="D2400" s="9">
        <f t="shared" si="37"/>
        <v>49.67</v>
      </c>
      <c r="E2400" s="11"/>
      <c r="F2400" s="9"/>
    </row>
    <row r="2401" s="1" customFormat="1" customHeight="1" spans="1:6">
      <c r="A2401" s="9" t="str">
        <f>"10062108029"</f>
        <v>10062108029</v>
      </c>
      <c r="B2401" s="10">
        <v>0</v>
      </c>
      <c r="C2401" s="9"/>
      <c r="D2401" s="9">
        <f t="shared" si="37"/>
        <v>0</v>
      </c>
      <c r="E2401" s="11"/>
      <c r="F2401" s="9" t="s">
        <v>7</v>
      </c>
    </row>
    <row r="2402" s="1" customFormat="1" customHeight="1" spans="1:6">
      <c r="A2402" s="9" t="str">
        <f>"10062108030"</f>
        <v>10062108030</v>
      </c>
      <c r="B2402" s="10">
        <v>33.54</v>
      </c>
      <c r="C2402" s="9"/>
      <c r="D2402" s="9">
        <f t="shared" si="37"/>
        <v>33.54</v>
      </c>
      <c r="E2402" s="11"/>
      <c r="F2402" s="9"/>
    </row>
    <row r="2403" s="1" customFormat="1" customHeight="1" spans="1:6">
      <c r="A2403" s="9" t="str">
        <f>"10460108101"</f>
        <v>10460108101</v>
      </c>
      <c r="B2403" s="10">
        <v>33.67</v>
      </c>
      <c r="C2403" s="9"/>
      <c r="D2403" s="9">
        <f t="shared" si="37"/>
        <v>33.67</v>
      </c>
      <c r="E2403" s="11"/>
      <c r="F2403" s="9"/>
    </row>
    <row r="2404" s="1" customFormat="1" customHeight="1" spans="1:6">
      <c r="A2404" s="9" t="str">
        <f>"10510108102"</f>
        <v>10510108102</v>
      </c>
      <c r="B2404" s="10">
        <v>0</v>
      </c>
      <c r="C2404" s="9"/>
      <c r="D2404" s="9">
        <f t="shared" si="37"/>
        <v>0</v>
      </c>
      <c r="E2404" s="11"/>
      <c r="F2404" s="9" t="s">
        <v>7</v>
      </c>
    </row>
    <row r="2405" s="1" customFormat="1" customHeight="1" spans="1:6">
      <c r="A2405" s="9" t="str">
        <f>"10330108103"</f>
        <v>10330108103</v>
      </c>
      <c r="B2405" s="10">
        <v>0</v>
      </c>
      <c r="C2405" s="9"/>
      <c r="D2405" s="9">
        <f t="shared" si="37"/>
        <v>0</v>
      </c>
      <c r="E2405" s="11"/>
      <c r="F2405" s="9" t="s">
        <v>7</v>
      </c>
    </row>
    <row r="2406" s="1" customFormat="1" customHeight="1" spans="1:6">
      <c r="A2406" s="9" t="str">
        <f>"10100108104"</f>
        <v>10100108104</v>
      </c>
      <c r="B2406" s="10">
        <v>34.26</v>
      </c>
      <c r="C2406" s="9"/>
      <c r="D2406" s="9">
        <f t="shared" si="37"/>
        <v>34.26</v>
      </c>
      <c r="E2406" s="11"/>
      <c r="F2406" s="9"/>
    </row>
    <row r="2407" s="1" customFormat="1" customHeight="1" spans="1:6">
      <c r="A2407" s="9" t="str">
        <f>"10180108105"</f>
        <v>10180108105</v>
      </c>
      <c r="B2407" s="10">
        <v>0</v>
      </c>
      <c r="C2407" s="9"/>
      <c r="D2407" s="9">
        <f t="shared" si="37"/>
        <v>0</v>
      </c>
      <c r="E2407" s="11"/>
      <c r="F2407" s="9" t="s">
        <v>7</v>
      </c>
    </row>
    <row r="2408" s="1" customFormat="1" customHeight="1" spans="1:6">
      <c r="A2408" s="9" t="str">
        <f>"20270108106"</f>
        <v>20270108106</v>
      </c>
      <c r="B2408" s="10">
        <v>34.78</v>
      </c>
      <c r="C2408" s="9"/>
      <c r="D2408" s="9">
        <f t="shared" si="37"/>
        <v>34.78</v>
      </c>
      <c r="E2408" s="11"/>
      <c r="F2408" s="9"/>
    </row>
    <row r="2409" s="1" customFormat="1" customHeight="1" spans="1:6">
      <c r="A2409" s="9" t="str">
        <f>"10360108107"</f>
        <v>10360108107</v>
      </c>
      <c r="B2409" s="10">
        <v>0</v>
      </c>
      <c r="C2409" s="9"/>
      <c r="D2409" s="9">
        <f t="shared" si="37"/>
        <v>0</v>
      </c>
      <c r="E2409" s="11"/>
      <c r="F2409" s="9" t="s">
        <v>7</v>
      </c>
    </row>
    <row r="2410" s="1" customFormat="1" customHeight="1" spans="1:6">
      <c r="A2410" s="9" t="str">
        <f>"10080108108"</f>
        <v>10080108108</v>
      </c>
      <c r="B2410" s="10">
        <v>39.48</v>
      </c>
      <c r="C2410" s="9"/>
      <c r="D2410" s="9">
        <f t="shared" si="37"/>
        <v>39.48</v>
      </c>
      <c r="E2410" s="11"/>
      <c r="F2410" s="9"/>
    </row>
    <row r="2411" s="1" customFormat="1" customHeight="1" spans="1:6">
      <c r="A2411" s="9" t="str">
        <f>"10230108109"</f>
        <v>10230108109</v>
      </c>
      <c r="B2411" s="10">
        <v>37.57</v>
      </c>
      <c r="C2411" s="9"/>
      <c r="D2411" s="9">
        <f t="shared" si="37"/>
        <v>37.57</v>
      </c>
      <c r="E2411" s="11"/>
      <c r="F2411" s="9"/>
    </row>
    <row r="2412" s="1" customFormat="1" customHeight="1" spans="1:6">
      <c r="A2412" s="9" t="str">
        <f>"10070108110"</f>
        <v>10070108110</v>
      </c>
      <c r="B2412" s="10">
        <v>39.7</v>
      </c>
      <c r="C2412" s="9"/>
      <c r="D2412" s="9">
        <f t="shared" si="37"/>
        <v>39.7</v>
      </c>
      <c r="E2412" s="11"/>
      <c r="F2412" s="9"/>
    </row>
    <row r="2413" s="1" customFormat="1" customHeight="1" spans="1:6">
      <c r="A2413" s="9" t="str">
        <f>"10440108111"</f>
        <v>10440108111</v>
      </c>
      <c r="B2413" s="10">
        <v>41.45</v>
      </c>
      <c r="C2413" s="9"/>
      <c r="D2413" s="9">
        <f t="shared" si="37"/>
        <v>41.45</v>
      </c>
      <c r="E2413" s="11"/>
      <c r="F2413" s="9"/>
    </row>
    <row r="2414" s="1" customFormat="1" customHeight="1" spans="1:6">
      <c r="A2414" s="9" t="str">
        <f>"10360108112"</f>
        <v>10360108112</v>
      </c>
      <c r="B2414" s="10">
        <v>41.02</v>
      </c>
      <c r="C2414" s="9"/>
      <c r="D2414" s="9">
        <f t="shared" si="37"/>
        <v>41.02</v>
      </c>
      <c r="E2414" s="11"/>
      <c r="F2414" s="9"/>
    </row>
    <row r="2415" s="1" customFormat="1" customHeight="1" spans="1:6">
      <c r="A2415" s="9" t="str">
        <f>"10500108113"</f>
        <v>10500108113</v>
      </c>
      <c r="B2415" s="10">
        <v>39.29</v>
      </c>
      <c r="C2415" s="9"/>
      <c r="D2415" s="9">
        <f t="shared" si="37"/>
        <v>39.29</v>
      </c>
      <c r="E2415" s="11"/>
      <c r="F2415" s="9"/>
    </row>
    <row r="2416" s="1" customFormat="1" customHeight="1" spans="1:6">
      <c r="A2416" s="9" t="str">
        <f>"10210108114"</f>
        <v>10210108114</v>
      </c>
      <c r="B2416" s="10">
        <v>36.9</v>
      </c>
      <c r="C2416" s="9"/>
      <c r="D2416" s="9">
        <f t="shared" si="37"/>
        <v>36.9</v>
      </c>
      <c r="E2416" s="11"/>
      <c r="F2416" s="9"/>
    </row>
    <row r="2417" s="1" customFormat="1" customHeight="1" spans="1:6">
      <c r="A2417" s="9" t="str">
        <f>"10140108115"</f>
        <v>10140108115</v>
      </c>
      <c r="B2417" s="10">
        <v>37.54</v>
      </c>
      <c r="C2417" s="9"/>
      <c r="D2417" s="9">
        <f t="shared" si="37"/>
        <v>37.54</v>
      </c>
      <c r="E2417" s="11"/>
      <c r="F2417" s="9"/>
    </row>
    <row r="2418" s="1" customFormat="1" customHeight="1" spans="1:6">
      <c r="A2418" s="9" t="str">
        <f>"10420108116"</f>
        <v>10420108116</v>
      </c>
      <c r="B2418" s="10">
        <v>0</v>
      </c>
      <c r="C2418" s="9"/>
      <c r="D2418" s="9">
        <f t="shared" si="37"/>
        <v>0</v>
      </c>
      <c r="E2418" s="11"/>
      <c r="F2418" s="9" t="s">
        <v>7</v>
      </c>
    </row>
    <row r="2419" s="1" customFormat="1" customHeight="1" spans="1:6">
      <c r="A2419" s="9" t="str">
        <f>"10330108117"</f>
        <v>10330108117</v>
      </c>
      <c r="B2419" s="10">
        <v>35.91</v>
      </c>
      <c r="C2419" s="9"/>
      <c r="D2419" s="9">
        <f t="shared" si="37"/>
        <v>35.91</v>
      </c>
      <c r="E2419" s="11"/>
      <c r="F2419" s="9"/>
    </row>
    <row r="2420" s="1" customFormat="1" customHeight="1" spans="1:6">
      <c r="A2420" s="9" t="str">
        <f>"10360108118"</f>
        <v>10360108118</v>
      </c>
      <c r="B2420" s="10">
        <v>33.62</v>
      </c>
      <c r="C2420" s="9"/>
      <c r="D2420" s="9">
        <f t="shared" si="37"/>
        <v>33.62</v>
      </c>
      <c r="E2420" s="11"/>
      <c r="F2420" s="9"/>
    </row>
    <row r="2421" s="1" customFormat="1" customHeight="1" spans="1:6">
      <c r="A2421" s="9" t="str">
        <f>"10360108119"</f>
        <v>10360108119</v>
      </c>
      <c r="B2421" s="10">
        <v>33.39</v>
      </c>
      <c r="C2421" s="9"/>
      <c r="D2421" s="9">
        <f t="shared" si="37"/>
        <v>33.39</v>
      </c>
      <c r="E2421" s="11"/>
      <c r="F2421" s="9"/>
    </row>
    <row r="2422" s="1" customFormat="1" customHeight="1" spans="1:6">
      <c r="A2422" s="9" t="str">
        <f>"10510108120"</f>
        <v>10510108120</v>
      </c>
      <c r="B2422" s="10">
        <v>24.73</v>
      </c>
      <c r="C2422" s="9"/>
      <c r="D2422" s="9">
        <f t="shared" si="37"/>
        <v>24.73</v>
      </c>
      <c r="E2422" s="11"/>
      <c r="F2422" s="9"/>
    </row>
    <row r="2423" s="1" customFormat="1" customHeight="1" spans="1:6">
      <c r="A2423" s="9" t="str">
        <f>"10300108121"</f>
        <v>10300108121</v>
      </c>
      <c r="B2423" s="10">
        <v>47.48</v>
      </c>
      <c r="C2423" s="9"/>
      <c r="D2423" s="9">
        <f t="shared" si="37"/>
        <v>47.48</v>
      </c>
      <c r="E2423" s="11"/>
      <c r="F2423" s="9"/>
    </row>
    <row r="2424" s="1" customFormat="1" customHeight="1" spans="1:6">
      <c r="A2424" s="9" t="str">
        <f>"10060108122"</f>
        <v>10060108122</v>
      </c>
      <c r="B2424" s="10">
        <v>37.65</v>
      </c>
      <c r="C2424" s="9"/>
      <c r="D2424" s="9">
        <f t="shared" si="37"/>
        <v>37.65</v>
      </c>
      <c r="E2424" s="11"/>
      <c r="F2424" s="9"/>
    </row>
    <row r="2425" s="1" customFormat="1" customHeight="1" spans="1:6">
      <c r="A2425" s="9" t="str">
        <f>"10160108123"</f>
        <v>10160108123</v>
      </c>
      <c r="B2425" s="10">
        <v>39.31</v>
      </c>
      <c r="C2425" s="9"/>
      <c r="D2425" s="9">
        <f t="shared" si="37"/>
        <v>39.31</v>
      </c>
      <c r="E2425" s="11"/>
      <c r="F2425" s="9"/>
    </row>
    <row r="2426" s="1" customFormat="1" customHeight="1" spans="1:6">
      <c r="A2426" s="9" t="str">
        <f>"10360108124"</f>
        <v>10360108124</v>
      </c>
      <c r="B2426" s="10">
        <v>34.82</v>
      </c>
      <c r="C2426" s="9"/>
      <c r="D2426" s="9">
        <f t="shared" si="37"/>
        <v>34.82</v>
      </c>
      <c r="E2426" s="11"/>
      <c r="F2426" s="9"/>
    </row>
    <row r="2427" s="1" customFormat="1" customHeight="1" spans="1:6">
      <c r="A2427" s="9" t="str">
        <f>"10360108125"</f>
        <v>10360108125</v>
      </c>
      <c r="B2427" s="10">
        <v>0</v>
      </c>
      <c r="C2427" s="9"/>
      <c r="D2427" s="9">
        <f t="shared" si="37"/>
        <v>0</v>
      </c>
      <c r="E2427" s="11"/>
      <c r="F2427" s="9" t="s">
        <v>7</v>
      </c>
    </row>
    <row r="2428" s="1" customFormat="1" customHeight="1" spans="1:6">
      <c r="A2428" s="9" t="str">
        <f>"10300108126"</f>
        <v>10300108126</v>
      </c>
      <c r="B2428" s="10">
        <v>0</v>
      </c>
      <c r="C2428" s="9"/>
      <c r="D2428" s="9">
        <f t="shared" si="37"/>
        <v>0</v>
      </c>
      <c r="E2428" s="11"/>
      <c r="F2428" s="9" t="s">
        <v>7</v>
      </c>
    </row>
    <row r="2429" s="1" customFormat="1" customHeight="1" spans="1:6">
      <c r="A2429" s="9" t="str">
        <f>"10290108127"</f>
        <v>10290108127</v>
      </c>
      <c r="B2429" s="10">
        <v>43.3</v>
      </c>
      <c r="C2429" s="9"/>
      <c r="D2429" s="9">
        <f t="shared" si="37"/>
        <v>43.3</v>
      </c>
      <c r="E2429" s="11"/>
      <c r="F2429" s="9"/>
    </row>
    <row r="2430" s="1" customFormat="1" customHeight="1" spans="1:6">
      <c r="A2430" s="9" t="str">
        <f>"10460108128"</f>
        <v>10460108128</v>
      </c>
      <c r="B2430" s="10">
        <v>0</v>
      </c>
      <c r="C2430" s="9">
        <v>10</v>
      </c>
      <c r="D2430" s="9">
        <f t="shared" si="37"/>
        <v>10</v>
      </c>
      <c r="E2430" s="12" t="s">
        <v>8</v>
      </c>
      <c r="F2430" s="9" t="s">
        <v>7</v>
      </c>
    </row>
    <row r="2431" s="1" customFormat="1" customHeight="1" spans="1:6">
      <c r="A2431" s="9" t="str">
        <f>"10210108129"</f>
        <v>10210108129</v>
      </c>
      <c r="B2431" s="10">
        <v>0</v>
      </c>
      <c r="C2431" s="9"/>
      <c r="D2431" s="9">
        <f t="shared" si="37"/>
        <v>0</v>
      </c>
      <c r="E2431" s="11"/>
      <c r="F2431" s="9" t="s">
        <v>7</v>
      </c>
    </row>
    <row r="2432" s="1" customFormat="1" customHeight="1" spans="1:6">
      <c r="A2432" s="9" t="str">
        <f>"20180108130"</f>
        <v>20180108130</v>
      </c>
      <c r="B2432" s="10">
        <v>49.11</v>
      </c>
      <c r="C2432" s="9"/>
      <c r="D2432" s="9">
        <f t="shared" si="37"/>
        <v>49.11</v>
      </c>
      <c r="E2432" s="11"/>
      <c r="F2432" s="9"/>
    </row>
    <row r="2433" s="1" customFormat="1" customHeight="1" spans="1:6">
      <c r="A2433" s="9" t="str">
        <f>"10360108201"</f>
        <v>10360108201</v>
      </c>
      <c r="B2433" s="10">
        <v>0</v>
      </c>
      <c r="C2433" s="9"/>
      <c r="D2433" s="9">
        <f t="shared" si="37"/>
        <v>0</v>
      </c>
      <c r="E2433" s="11"/>
      <c r="F2433" s="9" t="s">
        <v>7</v>
      </c>
    </row>
    <row r="2434" s="1" customFormat="1" customHeight="1" spans="1:6">
      <c r="A2434" s="9" t="str">
        <f>"10360108202"</f>
        <v>10360108202</v>
      </c>
      <c r="B2434" s="10">
        <v>35.48</v>
      </c>
      <c r="C2434" s="9"/>
      <c r="D2434" s="9">
        <f t="shared" si="37"/>
        <v>35.48</v>
      </c>
      <c r="E2434" s="11"/>
      <c r="F2434" s="9"/>
    </row>
    <row r="2435" s="1" customFormat="1" customHeight="1" spans="1:6">
      <c r="A2435" s="9" t="str">
        <f>"10360108203"</f>
        <v>10360108203</v>
      </c>
      <c r="B2435" s="10">
        <v>0</v>
      </c>
      <c r="C2435" s="9"/>
      <c r="D2435" s="9">
        <f t="shared" ref="D2435:D2498" si="38">SUM(B2435:C2435)</f>
        <v>0</v>
      </c>
      <c r="E2435" s="11"/>
      <c r="F2435" s="9" t="s">
        <v>7</v>
      </c>
    </row>
    <row r="2436" s="1" customFormat="1" customHeight="1" spans="1:6">
      <c r="A2436" s="9" t="str">
        <f>"10150108204"</f>
        <v>10150108204</v>
      </c>
      <c r="B2436" s="10">
        <v>45.62</v>
      </c>
      <c r="C2436" s="9"/>
      <c r="D2436" s="9">
        <f t="shared" si="38"/>
        <v>45.62</v>
      </c>
      <c r="E2436" s="11"/>
      <c r="F2436" s="9"/>
    </row>
    <row r="2437" s="1" customFormat="1" customHeight="1" spans="1:6">
      <c r="A2437" s="9" t="str">
        <f>"10360108205"</f>
        <v>10360108205</v>
      </c>
      <c r="B2437" s="10">
        <v>36.2</v>
      </c>
      <c r="C2437" s="9"/>
      <c r="D2437" s="9">
        <f t="shared" si="38"/>
        <v>36.2</v>
      </c>
      <c r="E2437" s="11"/>
      <c r="F2437" s="9"/>
    </row>
    <row r="2438" s="1" customFormat="1" customHeight="1" spans="1:6">
      <c r="A2438" s="9" t="str">
        <f>"10530108206"</f>
        <v>10530108206</v>
      </c>
      <c r="B2438" s="10">
        <v>38.24</v>
      </c>
      <c r="C2438" s="9"/>
      <c r="D2438" s="9">
        <f t="shared" si="38"/>
        <v>38.24</v>
      </c>
      <c r="E2438" s="11"/>
      <c r="F2438" s="9"/>
    </row>
    <row r="2439" s="1" customFormat="1" customHeight="1" spans="1:6">
      <c r="A2439" s="9" t="str">
        <f>"10360108207"</f>
        <v>10360108207</v>
      </c>
      <c r="B2439" s="10">
        <v>43.06</v>
      </c>
      <c r="C2439" s="9"/>
      <c r="D2439" s="9">
        <f t="shared" si="38"/>
        <v>43.06</v>
      </c>
      <c r="E2439" s="11"/>
      <c r="F2439" s="9"/>
    </row>
    <row r="2440" s="1" customFormat="1" customHeight="1" spans="1:6">
      <c r="A2440" s="9" t="str">
        <f>"10360108208"</f>
        <v>10360108208</v>
      </c>
      <c r="B2440" s="10">
        <v>0</v>
      </c>
      <c r="C2440" s="9"/>
      <c r="D2440" s="9">
        <f t="shared" si="38"/>
        <v>0</v>
      </c>
      <c r="E2440" s="11"/>
      <c r="F2440" s="9" t="s">
        <v>7</v>
      </c>
    </row>
    <row r="2441" s="1" customFormat="1" customHeight="1" spans="1:6">
      <c r="A2441" s="9" t="str">
        <f>"10270108209"</f>
        <v>10270108209</v>
      </c>
      <c r="B2441" s="10">
        <v>41.21</v>
      </c>
      <c r="C2441" s="9"/>
      <c r="D2441" s="9">
        <f t="shared" si="38"/>
        <v>41.21</v>
      </c>
      <c r="E2441" s="11"/>
      <c r="F2441" s="9"/>
    </row>
    <row r="2442" s="1" customFormat="1" customHeight="1" spans="1:6">
      <c r="A2442" s="9" t="str">
        <f>"10210108210"</f>
        <v>10210108210</v>
      </c>
      <c r="B2442" s="10">
        <v>39.09</v>
      </c>
      <c r="C2442" s="9"/>
      <c r="D2442" s="9">
        <f t="shared" si="38"/>
        <v>39.09</v>
      </c>
      <c r="E2442" s="11"/>
      <c r="F2442" s="9"/>
    </row>
    <row r="2443" s="1" customFormat="1" customHeight="1" spans="1:6">
      <c r="A2443" s="9" t="str">
        <f>"10010108211"</f>
        <v>10010108211</v>
      </c>
      <c r="B2443" s="10">
        <v>42.39</v>
      </c>
      <c r="C2443" s="9"/>
      <c r="D2443" s="9">
        <f t="shared" si="38"/>
        <v>42.39</v>
      </c>
      <c r="E2443" s="11"/>
      <c r="F2443" s="9"/>
    </row>
    <row r="2444" s="1" customFormat="1" customHeight="1" spans="1:6">
      <c r="A2444" s="9" t="str">
        <f>"10500108212"</f>
        <v>10500108212</v>
      </c>
      <c r="B2444" s="10">
        <v>37.6</v>
      </c>
      <c r="C2444" s="9"/>
      <c r="D2444" s="9">
        <f t="shared" si="38"/>
        <v>37.6</v>
      </c>
      <c r="E2444" s="11"/>
      <c r="F2444" s="9"/>
    </row>
    <row r="2445" s="1" customFormat="1" customHeight="1" spans="1:6">
      <c r="A2445" s="9" t="str">
        <f>"10180108213"</f>
        <v>10180108213</v>
      </c>
      <c r="B2445" s="10">
        <v>30.46</v>
      </c>
      <c r="C2445" s="9"/>
      <c r="D2445" s="9">
        <f t="shared" si="38"/>
        <v>30.46</v>
      </c>
      <c r="E2445" s="11"/>
      <c r="F2445" s="9"/>
    </row>
    <row r="2446" s="1" customFormat="1" customHeight="1" spans="1:6">
      <c r="A2446" s="9" t="str">
        <f>"10180108214"</f>
        <v>10180108214</v>
      </c>
      <c r="B2446" s="10">
        <v>33.97</v>
      </c>
      <c r="C2446" s="9"/>
      <c r="D2446" s="9">
        <f t="shared" si="38"/>
        <v>33.97</v>
      </c>
      <c r="E2446" s="11"/>
      <c r="F2446" s="9"/>
    </row>
    <row r="2447" s="1" customFormat="1" customHeight="1" spans="1:6">
      <c r="A2447" s="9" t="str">
        <f>"10450108215"</f>
        <v>10450108215</v>
      </c>
      <c r="B2447" s="10">
        <v>38.24</v>
      </c>
      <c r="C2447" s="9"/>
      <c r="D2447" s="9">
        <f t="shared" si="38"/>
        <v>38.24</v>
      </c>
      <c r="E2447" s="11"/>
      <c r="F2447" s="9"/>
    </row>
    <row r="2448" s="1" customFormat="1" customHeight="1" spans="1:6">
      <c r="A2448" s="9" t="str">
        <f>"10360108216"</f>
        <v>10360108216</v>
      </c>
      <c r="B2448" s="10">
        <v>0</v>
      </c>
      <c r="C2448" s="9"/>
      <c r="D2448" s="9">
        <f t="shared" si="38"/>
        <v>0</v>
      </c>
      <c r="E2448" s="11"/>
      <c r="F2448" s="9" t="s">
        <v>7</v>
      </c>
    </row>
    <row r="2449" s="1" customFormat="1" customHeight="1" spans="1:6">
      <c r="A2449" s="9" t="str">
        <f>"10090108217"</f>
        <v>10090108217</v>
      </c>
      <c r="B2449" s="10">
        <v>47</v>
      </c>
      <c r="C2449" s="9"/>
      <c r="D2449" s="9">
        <f t="shared" si="38"/>
        <v>47</v>
      </c>
      <c r="E2449" s="11"/>
      <c r="F2449" s="9"/>
    </row>
    <row r="2450" s="1" customFormat="1" customHeight="1" spans="1:6">
      <c r="A2450" s="9" t="str">
        <f>"10340108218"</f>
        <v>10340108218</v>
      </c>
      <c r="B2450" s="10">
        <v>34.28</v>
      </c>
      <c r="C2450" s="9"/>
      <c r="D2450" s="9">
        <f t="shared" si="38"/>
        <v>34.28</v>
      </c>
      <c r="E2450" s="11"/>
      <c r="F2450" s="9"/>
    </row>
    <row r="2451" s="1" customFormat="1" customHeight="1" spans="1:6">
      <c r="A2451" s="9" t="str">
        <f>"10530108219"</f>
        <v>10530108219</v>
      </c>
      <c r="B2451" s="10">
        <v>31.44</v>
      </c>
      <c r="C2451" s="9"/>
      <c r="D2451" s="9">
        <f t="shared" si="38"/>
        <v>31.44</v>
      </c>
      <c r="E2451" s="11"/>
      <c r="F2451" s="9"/>
    </row>
    <row r="2452" s="1" customFormat="1" customHeight="1" spans="1:6">
      <c r="A2452" s="9" t="str">
        <f>"10530108220"</f>
        <v>10530108220</v>
      </c>
      <c r="B2452" s="10">
        <v>35.6</v>
      </c>
      <c r="C2452" s="9"/>
      <c r="D2452" s="9">
        <f t="shared" si="38"/>
        <v>35.6</v>
      </c>
      <c r="E2452" s="11"/>
      <c r="F2452" s="9"/>
    </row>
    <row r="2453" s="1" customFormat="1" customHeight="1" spans="1:6">
      <c r="A2453" s="9" t="str">
        <f>"10360108221"</f>
        <v>10360108221</v>
      </c>
      <c r="B2453" s="10">
        <v>39.78</v>
      </c>
      <c r="C2453" s="9"/>
      <c r="D2453" s="9">
        <f t="shared" si="38"/>
        <v>39.78</v>
      </c>
      <c r="E2453" s="11"/>
      <c r="F2453" s="9"/>
    </row>
    <row r="2454" s="1" customFormat="1" customHeight="1" spans="1:6">
      <c r="A2454" s="9" t="str">
        <f>"10230108222"</f>
        <v>10230108222</v>
      </c>
      <c r="B2454" s="10">
        <v>29.52</v>
      </c>
      <c r="C2454" s="9"/>
      <c r="D2454" s="9">
        <f t="shared" si="38"/>
        <v>29.52</v>
      </c>
      <c r="E2454" s="11"/>
      <c r="F2454" s="9"/>
    </row>
    <row r="2455" s="1" customFormat="1" customHeight="1" spans="1:6">
      <c r="A2455" s="9" t="str">
        <f>"10060108223"</f>
        <v>10060108223</v>
      </c>
      <c r="B2455" s="10">
        <v>29.72</v>
      </c>
      <c r="C2455" s="9"/>
      <c r="D2455" s="9">
        <f t="shared" si="38"/>
        <v>29.72</v>
      </c>
      <c r="E2455" s="11"/>
      <c r="F2455" s="9"/>
    </row>
    <row r="2456" s="1" customFormat="1" customHeight="1" spans="1:6">
      <c r="A2456" s="9" t="str">
        <f>"10430108224"</f>
        <v>10430108224</v>
      </c>
      <c r="B2456" s="10">
        <v>34.54</v>
      </c>
      <c r="C2456" s="9"/>
      <c r="D2456" s="9">
        <f t="shared" si="38"/>
        <v>34.54</v>
      </c>
      <c r="E2456" s="11"/>
      <c r="F2456" s="9"/>
    </row>
    <row r="2457" s="1" customFormat="1" customHeight="1" spans="1:6">
      <c r="A2457" s="9" t="str">
        <f>"10300108225"</f>
        <v>10300108225</v>
      </c>
      <c r="B2457" s="10">
        <v>44.16</v>
      </c>
      <c r="C2457" s="9"/>
      <c r="D2457" s="9">
        <f t="shared" si="38"/>
        <v>44.16</v>
      </c>
      <c r="E2457" s="11"/>
      <c r="F2457" s="9"/>
    </row>
    <row r="2458" s="1" customFormat="1" customHeight="1" spans="1:6">
      <c r="A2458" s="9" t="str">
        <f>"10500108226"</f>
        <v>10500108226</v>
      </c>
      <c r="B2458" s="10">
        <v>35.93</v>
      </c>
      <c r="C2458" s="9"/>
      <c r="D2458" s="9">
        <f t="shared" si="38"/>
        <v>35.93</v>
      </c>
      <c r="E2458" s="11"/>
      <c r="F2458" s="9"/>
    </row>
    <row r="2459" s="1" customFormat="1" customHeight="1" spans="1:6">
      <c r="A2459" s="9" t="str">
        <f>"10370108227"</f>
        <v>10370108227</v>
      </c>
      <c r="B2459" s="10">
        <v>35.48</v>
      </c>
      <c r="C2459" s="9"/>
      <c r="D2459" s="9">
        <f t="shared" si="38"/>
        <v>35.48</v>
      </c>
      <c r="E2459" s="11"/>
      <c r="F2459" s="9"/>
    </row>
    <row r="2460" s="1" customFormat="1" customHeight="1" spans="1:6">
      <c r="A2460" s="9" t="str">
        <f>"10060108228"</f>
        <v>10060108228</v>
      </c>
      <c r="B2460" s="10">
        <v>39.85</v>
      </c>
      <c r="C2460" s="9"/>
      <c r="D2460" s="9">
        <f t="shared" si="38"/>
        <v>39.85</v>
      </c>
      <c r="E2460" s="11"/>
      <c r="F2460" s="9"/>
    </row>
    <row r="2461" s="1" customFormat="1" customHeight="1" spans="1:6">
      <c r="A2461" s="9" t="str">
        <f>"10040108229"</f>
        <v>10040108229</v>
      </c>
      <c r="B2461" s="10">
        <v>40.33</v>
      </c>
      <c r="C2461" s="9"/>
      <c r="D2461" s="9">
        <f t="shared" si="38"/>
        <v>40.33</v>
      </c>
      <c r="E2461" s="11"/>
      <c r="F2461" s="9"/>
    </row>
    <row r="2462" s="1" customFormat="1" customHeight="1" spans="1:6">
      <c r="A2462" s="9" t="str">
        <f>"10360108230"</f>
        <v>10360108230</v>
      </c>
      <c r="B2462" s="10">
        <v>37.21</v>
      </c>
      <c r="C2462" s="9"/>
      <c r="D2462" s="9">
        <f t="shared" si="38"/>
        <v>37.21</v>
      </c>
      <c r="E2462" s="11"/>
      <c r="F2462" s="9"/>
    </row>
    <row r="2463" s="1" customFormat="1" customHeight="1" spans="1:6">
      <c r="A2463" s="9" t="str">
        <f>"10330108301"</f>
        <v>10330108301</v>
      </c>
      <c r="B2463" s="10">
        <v>0</v>
      </c>
      <c r="C2463" s="9"/>
      <c r="D2463" s="9">
        <f t="shared" si="38"/>
        <v>0</v>
      </c>
      <c r="E2463" s="11"/>
      <c r="F2463" s="9" t="s">
        <v>7</v>
      </c>
    </row>
    <row r="2464" s="1" customFormat="1" customHeight="1" spans="1:6">
      <c r="A2464" s="9" t="str">
        <f>"10500108302"</f>
        <v>10500108302</v>
      </c>
      <c r="B2464" s="10">
        <v>46.39</v>
      </c>
      <c r="C2464" s="9"/>
      <c r="D2464" s="9">
        <f t="shared" si="38"/>
        <v>46.39</v>
      </c>
      <c r="E2464" s="11"/>
      <c r="F2464" s="9"/>
    </row>
    <row r="2465" s="1" customFormat="1" customHeight="1" spans="1:6">
      <c r="A2465" s="9" t="str">
        <f>"10300108303"</f>
        <v>10300108303</v>
      </c>
      <c r="B2465" s="10">
        <v>0</v>
      </c>
      <c r="C2465" s="9"/>
      <c r="D2465" s="9">
        <f t="shared" si="38"/>
        <v>0</v>
      </c>
      <c r="E2465" s="11"/>
      <c r="F2465" s="9" t="s">
        <v>7</v>
      </c>
    </row>
    <row r="2466" s="1" customFormat="1" customHeight="1" spans="1:6">
      <c r="A2466" s="9" t="str">
        <f>"10460108304"</f>
        <v>10460108304</v>
      </c>
      <c r="B2466" s="10">
        <v>46.82</v>
      </c>
      <c r="C2466" s="9"/>
      <c r="D2466" s="9">
        <f t="shared" si="38"/>
        <v>46.82</v>
      </c>
      <c r="E2466" s="11"/>
      <c r="F2466" s="9"/>
    </row>
    <row r="2467" s="1" customFormat="1" customHeight="1" spans="1:6">
      <c r="A2467" s="9" t="str">
        <f>"10070108305"</f>
        <v>10070108305</v>
      </c>
      <c r="B2467" s="10">
        <v>37.79</v>
      </c>
      <c r="C2467" s="9"/>
      <c r="D2467" s="9">
        <f t="shared" si="38"/>
        <v>37.79</v>
      </c>
      <c r="E2467" s="11"/>
      <c r="F2467" s="9"/>
    </row>
    <row r="2468" s="1" customFormat="1" customHeight="1" spans="1:6">
      <c r="A2468" s="9" t="str">
        <f>"10430108306"</f>
        <v>10430108306</v>
      </c>
      <c r="B2468" s="10">
        <v>51.41</v>
      </c>
      <c r="C2468" s="9"/>
      <c r="D2468" s="9">
        <f t="shared" si="38"/>
        <v>51.41</v>
      </c>
      <c r="E2468" s="11"/>
      <c r="F2468" s="9"/>
    </row>
    <row r="2469" s="1" customFormat="1" customHeight="1" spans="1:6">
      <c r="A2469" s="9" t="str">
        <f>"10360108307"</f>
        <v>10360108307</v>
      </c>
      <c r="B2469" s="10">
        <v>0</v>
      </c>
      <c r="C2469" s="9"/>
      <c r="D2469" s="9">
        <f t="shared" si="38"/>
        <v>0</v>
      </c>
      <c r="E2469" s="11"/>
      <c r="F2469" s="9" t="s">
        <v>7</v>
      </c>
    </row>
    <row r="2470" s="1" customFormat="1" customHeight="1" spans="1:6">
      <c r="A2470" s="9" t="str">
        <f>"10270108308"</f>
        <v>10270108308</v>
      </c>
      <c r="B2470" s="10">
        <v>0</v>
      </c>
      <c r="C2470" s="9"/>
      <c r="D2470" s="9">
        <f t="shared" si="38"/>
        <v>0</v>
      </c>
      <c r="E2470" s="11"/>
      <c r="F2470" s="9" t="s">
        <v>7</v>
      </c>
    </row>
    <row r="2471" s="1" customFormat="1" customHeight="1" spans="1:6">
      <c r="A2471" s="9" t="str">
        <f>"10330108309"</f>
        <v>10330108309</v>
      </c>
      <c r="B2471" s="10">
        <v>0</v>
      </c>
      <c r="C2471" s="9"/>
      <c r="D2471" s="9">
        <f t="shared" si="38"/>
        <v>0</v>
      </c>
      <c r="E2471" s="11"/>
      <c r="F2471" s="9" t="s">
        <v>7</v>
      </c>
    </row>
    <row r="2472" s="1" customFormat="1" customHeight="1" spans="1:6">
      <c r="A2472" s="9" t="str">
        <f>"10360108310"</f>
        <v>10360108310</v>
      </c>
      <c r="B2472" s="10">
        <v>41.27</v>
      </c>
      <c r="C2472" s="9">
        <v>10</v>
      </c>
      <c r="D2472" s="9">
        <f t="shared" si="38"/>
        <v>51.27</v>
      </c>
      <c r="E2472" s="12" t="s">
        <v>8</v>
      </c>
      <c r="F2472" s="9"/>
    </row>
    <row r="2473" s="1" customFormat="1" customHeight="1" spans="1:6">
      <c r="A2473" s="9" t="str">
        <f>"10260108311"</f>
        <v>10260108311</v>
      </c>
      <c r="B2473" s="10">
        <v>36.83</v>
      </c>
      <c r="C2473" s="9"/>
      <c r="D2473" s="9">
        <f t="shared" si="38"/>
        <v>36.83</v>
      </c>
      <c r="E2473" s="11"/>
      <c r="F2473" s="9"/>
    </row>
    <row r="2474" s="1" customFormat="1" customHeight="1" spans="1:6">
      <c r="A2474" s="9" t="str">
        <f>"10380108312"</f>
        <v>10380108312</v>
      </c>
      <c r="B2474" s="10">
        <v>0</v>
      </c>
      <c r="C2474" s="9"/>
      <c r="D2474" s="9">
        <f t="shared" si="38"/>
        <v>0</v>
      </c>
      <c r="E2474" s="11"/>
      <c r="F2474" s="9" t="s">
        <v>7</v>
      </c>
    </row>
    <row r="2475" s="1" customFormat="1" customHeight="1" spans="1:6">
      <c r="A2475" s="9" t="str">
        <f>"10170108313"</f>
        <v>10170108313</v>
      </c>
      <c r="B2475" s="10">
        <v>51.29</v>
      </c>
      <c r="C2475" s="9"/>
      <c r="D2475" s="9">
        <f t="shared" si="38"/>
        <v>51.29</v>
      </c>
      <c r="E2475" s="11"/>
      <c r="F2475" s="9"/>
    </row>
    <row r="2476" s="1" customFormat="1" customHeight="1" spans="1:6">
      <c r="A2476" s="9" t="str">
        <f>"10350108314"</f>
        <v>10350108314</v>
      </c>
      <c r="B2476" s="10">
        <v>37.39</v>
      </c>
      <c r="C2476" s="9"/>
      <c r="D2476" s="9">
        <f t="shared" si="38"/>
        <v>37.39</v>
      </c>
      <c r="E2476" s="11"/>
      <c r="F2476" s="9"/>
    </row>
    <row r="2477" s="1" customFormat="1" customHeight="1" spans="1:6">
      <c r="A2477" s="9" t="str">
        <f>"10360108315"</f>
        <v>10360108315</v>
      </c>
      <c r="B2477" s="10">
        <v>32.36</v>
      </c>
      <c r="C2477" s="9"/>
      <c r="D2477" s="9">
        <f t="shared" si="38"/>
        <v>32.36</v>
      </c>
      <c r="E2477" s="11"/>
      <c r="F2477" s="9"/>
    </row>
    <row r="2478" s="1" customFormat="1" customHeight="1" spans="1:6">
      <c r="A2478" s="9" t="str">
        <f>"10360108316"</f>
        <v>10360108316</v>
      </c>
      <c r="B2478" s="10">
        <v>0</v>
      </c>
      <c r="C2478" s="9"/>
      <c r="D2478" s="9">
        <f t="shared" si="38"/>
        <v>0</v>
      </c>
      <c r="E2478" s="11"/>
      <c r="F2478" s="9" t="s">
        <v>7</v>
      </c>
    </row>
    <row r="2479" s="1" customFormat="1" customHeight="1" spans="1:6">
      <c r="A2479" s="9" t="str">
        <f>"10530108317"</f>
        <v>10530108317</v>
      </c>
      <c r="B2479" s="10">
        <v>0</v>
      </c>
      <c r="C2479" s="9"/>
      <c r="D2479" s="9">
        <f t="shared" si="38"/>
        <v>0</v>
      </c>
      <c r="E2479" s="11"/>
      <c r="F2479" s="9" t="s">
        <v>7</v>
      </c>
    </row>
    <row r="2480" s="1" customFormat="1" customHeight="1" spans="1:6">
      <c r="A2480" s="9" t="str">
        <f>"10290108318"</f>
        <v>10290108318</v>
      </c>
      <c r="B2480" s="10">
        <v>46.31</v>
      </c>
      <c r="C2480" s="9"/>
      <c r="D2480" s="9">
        <f t="shared" si="38"/>
        <v>46.31</v>
      </c>
      <c r="E2480" s="11"/>
      <c r="F2480" s="9"/>
    </row>
    <row r="2481" s="1" customFormat="1" customHeight="1" spans="1:6">
      <c r="A2481" s="9" t="str">
        <f>"10360108319"</f>
        <v>10360108319</v>
      </c>
      <c r="B2481" s="10">
        <v>36.46</v>
      </c>
      <c r="C2481" s="9"/>
      <c r="D2481" s="9">
        <f t="shared" si="38"/>
        <v>36.46</v>
      </c>
      <c r="E2481" s="11"/>
      <c r="F2481" s="9"/>
    </row>
    <row r="2482" s="1" customFormat="1" customHeight="1" spans="1:6">
      <c r="A2482" s="9" t="str">
        <f>"10500108320"</f>
        <v>10500108320</v>
      </c>
      <c r="B2482" s="10">
        <v>0</v>
      </c>
      <c r="C2482" s="9">
        <v>10</v>
      </c>
      <c r="D2482" s="9">
        <f t="shared" si="38"/>
        <v>10</v>
      </c>
      <c r="E2482" s="12" t="s">
        <v>8</v>
      </c>
      <c r="F2482" s="9" t="s">
        <v>7</v>
      </c>
    </row>
    <row r="2483" s="1" customFormat="1" customHeight="1" spans="1:6">
      <c r="A2483" s="9" t="str">
        <f>"10060108321"</f>
        <v>10060108321</v>
      </c>
      <c r="B2483" s="10">
        <v>62.53</v>
      </c>
      <c r="C2483" s="9"/>
      <c r="D2483" s="9">
        <f t="shared" si="38"/>
        <v>62.53</v>
      </c>
      <c r="E2483" s="11"/>
      <c r="F2483" s="9"/>
    </row>
    <row r="2484" s="1" customFormat="1" customHeight="1" spans="1:6">
      <c r="A2484" s="9" t="str">
        <f>"10360108322"</f>
        <v>10360108322</v>
      </c>
      <c r="B2484" s="10">
        <v>48.98</v>
      </c>
      <c r="C2484" s="9"/>
      <c r="D2484" s="9">
        <f t="shared" si="38"/>
        <v>48.98</v>
      </c>
      <c r="E2484" s="11"/>
      <c r="F2484" s="9"/>
    </row>
    <row r="2485" s="1" customFormat="1" customHeight="1" spans="1:6">
      <c r="A2485" s="9" t="str">
        <f>"10140108323"</f>
        <v>10140108323</v>
      </c>
      <c r="B2485" s="10">
        <v>0</v>
      </c>
      <c r="C2485" s="9"/>
      <c r="D2485" s="9">
        <f t="shared" si="38"/>
        <v>0</v>
      </c>
      <c r="E2485" s="11"/>
      <c r="F2485" s="9" t="s">
        <v>7</v>
      </c>
    </row>
    <row r="2486" s="1" customFormat="1" customHeight="1" spans="1:6">
      <c r="A2486" s="9" t="str">
        <f>"10210108324"</f>
        <v>10210108324</v>
      </c>
      <c r="B2486" s="10">
        <v>45.05</v>
      </c>
      <c r="C2486" s="9"/>
      <c r="D2486" s="9">
        <f t="shared" si="38"/>
        <v>45.05</v>
      </c>
      <c r="E2486" s="11"/>
      <c r="F2486" s="9"/>
    </row>
    <row r="2487" s="1" customFormat="1" customHeight="1" spans="1:6">
      <c r="A2487" s="9" t="str">
        <f>"10110108325"</f>
        <v>10110108325</v>
      </c>
      <c r="B2487" s="10">
        <v>39.74</v>
      </c>
      <c r="C2487" s="9"/>
      <c r="D2487" s="9">
        <f t="shared" si="38"/>
        <v>39.74</v>
      </c>
      <c r="E2487" s="11"/>
      <c r="F2487" s="9"/>
    </row>
    <row r="2488" s="1" customFormat="1" customHeight="1" spans="1:6">
      <c r="A2488" s="9" t="str">
        <f>"10210108326"</f>
        <v>10210108326</v>
      </c>
      <c r="B2488" s="10">
        <v>34.17</v>
      </c>
      <c r="C2488" s="9"/>
      <c r="D2488" s="9">
        <f t="shared" si="38"/>
        <v>34.17</v>
      </c>
      <c r="E2488" s="11"/>
      <c r="F2488" s="9"/>
    </row>
    <row r="2489" s="1" customFormat="1" customHeight="1" spans="1:6">
      <c r="A2489" s="9" t="str">
        <f>"10060108327"</f>
        <v>10060108327</v>
      </c>
      <c r="B2489" s="10">
        <v>0</v>
      </c>
      <c r="C2489" s="9"/>
      <c r="D2489" s="9">
        <f t="shared" si="38"/>
        <v>0</v>
      </c>
      <c r="E2489" s="11"/>
      <c r="F2489" s="9" t="s">
        <v>7</v>
      </c>
    </row>
    <row r="2490" s="1" customFormat="1" customHeight="1" spans="1:6">
      <c r="A2490" s="9" t="str">
        <f>"10360108328"</f>
        <v>10360108328</v>
      </c>
      <c r="B2490" s="10">
        <v>43.78</v>
      </c>
      <c r="C2490" s="9"/>
      <c r="D2490" s="9">
        <f t="shared" si="38"/>
        <v>43.78</v>
      </c>
      <c r="E2490" s="11"/>
      <c r="F2490" s="9"/>
    </row>
    <row r="2491" s="1" customFormat="1" customHeight="1" spans="1:6">
      <c r="A2491" s="9" t="str">
        <f>"10360108329"</f>
        <v>10360108329</v>
      </c>
      <c r="B2491" s="10">
        <v>0</v>
      </c>
      <c r="C2491" s="9"/>
      <c r="D2491" s="9">
        <f t="shared" si="38"/>
        <v>0</v>
      </c>
      <c r="E2491" s="11"/>
      <c r="F2491" s="9" t="s">
        <v>7</v>
      </c>
    </row>
    <row r="2492" s="1" customFormat="1" customHeight="1" spans="1:6">
      <c r="A2492" s="9" t="str">
        <f>"10330108330"</f>
        <v>10330108330</v>
      </c>
      <c r="B2492" s="10">
        <v>45.67</v>
      </c>
      <c r="C2492" s="9"/>
      <c r="D2492" s="9">
        <f t="shared" si="38"/>
        <v>45.67</v>
      </c>
      <c r="E2492" s="11"/>
      <c r="F2492" s="9"/>
    </row>
    <row r="2493" s="1" customFormat="1" customHeight="1" spans="1:6">
      <c r="A2493" s="9" t="str">
        <f>"10230108401"</f>
        <v>10230108401</v>
      </c>
      <c r="B2493" s="10">
        <v>0</v>
      </c>
      <c r="C2493" s="9"/>
      <c r="D2493" s="9">
        <f t="shared" si="38"/>
        <v>0</v>
      </c>
      <c r="E2493" s="11"/>
      <c r="F2493" s="9" t="s">
        <v>7</v>
      </c>
    </row>
    <row r="2494" s="1" customFormat="1" customHeight="1" spans="1:6">
      <c r="A2494" s="9" t="str">
        <f>"10480108402"</f>
        <v>10480108402</v>
      </c>
      <c r="B2494" s="10">
        <v>34.74</v>
      </c>
      <c r="C2494" s="9"/>
      <c r="D2494" s="9">
        <f t="shared" si="38"/>
        <v>34.74</v>
      </c>
      <c r="E2494" s="11"/>
      <c r="F2494" s="9"/>
    </row>
    <row r="2495" s="1" customFormat="1" customHeight="1" spans="1:6">
      <c r="A2495" s="9" t="str">
        <f>"10520108403"</f>
        <v>10520108403</v>
      </c>
      <c r="B2495" s="10">
        <v>41.61</v>
      </c>
      <c r="C2495" s="9"/>
      <c r="D2495" s="9">
        <f t="shared" si="38"/>
        <v>41.61</v>
      </c>
      <c r="E2495" s="11"/>
      <c r="F2495" s="9"/>
    </row>
    <row r="2496" s="1" customFormat="1" customHeight="1" spans="1:6">
      <c r="A2496" s="9" t="str">
        <f>"10120108404"</f>
        <v>10120108404</v>
      </c>
      <c r="B2496" s="10">
        <v>0</v>
      </c>
      <c r="C2496" s="9"/>
      <c r="D2496" s="9">
        <f t="shared" si="38"/>
        <v>0</v>
      </c>
      <c r="E2496" s="11"/>
      <c r="F2496" s="9" t="s">
        <v>7</v>
      </c>
    </row>
    <row r="2497" s="1" customFormat="1" customHeight="1" spans="1:6">
      <c r="A2497" s="9" t="str">
        <f>"10290108405"</f>
        <v>10290108405</v>
      </c>
      <c r="B2497" s="10">
        <v>38.8</v>
      </c>
      <c r="C2497" s="9"/>
      <c r="D2497" s="9">
        <f t="shared" si="38"/>
        <v>38.8</v>
      </c>
      <c r="E2497" s="11"/>
      <c r="F2497" s="9"/>
    </row>
    <row r="2498" s="1" customFormat="1" customHeight="1" spans="1:6">
      <c r="A2498" s="9" t="str">
        <f>"10300108406"</f>
        <v>10300108406</v>
      </c>
      <c r="B2498" s="10">
        <v>34.5</v>
      </c>
      <c r="C2498" s="9"/>
      <c r="D2498" s="9">
        <f t="shared" si="38"/>
        <v>34.5</v>
      </c>
      <c r="E2498" s="11"/>
      <c r="F2498" s="9"/>
    </row>
    <row r="2499" s="1" customFormat="1" customHeight="1" spans="1:6">
      <c r="A2499" s="9" t="str">
        <f>"10170108407"</f>
        <v>10170108407</v>
      </c>
      <c r="B2499" s="10">
        <v>0</v>
      </c>
      <c r="C2499" s="9"/>
      <c r="D2499" s="9">
        <f t="shared" ref="D2499:D2562" si="39">SUM(B2499:C2499)</f>
        <v>0</v>
      </c>
      <c r="E2499" s="11"/>
      <c r="F2499" s="9" t="s">
        <v>7</v>
      </c>
    </row>
    <row r="2500" s="1" customFormat="1" customHeight="1" spans="1:6">
      <c r="A2500" s="9" t="str">
        <f>"10500108408"</f>
        <v>10500108408</v>
      </c>
      <c r="B2500" s="10">
        <v>39.78</v>
      </c>
      <c r="C2500" s="9"/>
      <c r="D2500" s="9">
        <f t="shared" si="39"/>
        <v>39.78</v>
      </c>
      <c r="E2500" s="11"/>
      <c r="F2500" s="9"/>
    </row>
    <row r="2501" s="1" customFormat="1" customHeight="1" spans="1:6">
      <c r="A2501" s="9" t="str">
        <f>"10360108409"</f>
        <v>10360108409</v>
      </c>
      <c r="B2501" s="10">
        <v>41.39</v>
      </c>
      <c r="C2501" s="9"/>
      <c r="D2501" s="9">
        <f t="shared" si="39"/>
        <v>41.39</v>
      </c>
      <c r="E2501" s="11"/>
      <c r="F2501" s="9"/>
    </row>
    <row r="2502" s="1" customFormat="1" customHeight="1" spans="1:6">
      <c r="A2502" s="9" t="str">
        <f>"10360108410"</f>
        <v>10360108410</v>
      </c>
      <c r="B2502" s="10">
        <v>33.62</v>
      </c>
      <c r="C2502" s="9"/>
      <c r="D2502" s="9">
        <f t="shared" si="39"/>
        <v>33.62</v>
      </c>
      <c r="E2502" s="11"/>
      <c r="F2502" s="9"/>
    </row>
    <row r="2503" s="1" customFormat="1" customHeight="1" spans="1:6">
      <c r="A2503" s="9" t="str">
        <f>"10500108411"</f>
        <v>10500108411</v>
      </c>
      <c r="B2503" s="10">
        <v>37.67</v>
      </c>
      <c r="C2503" s="9"/>
      <c r="D2503" s="9">
        <f t="shared" si="39"/>
        <v>37.67</v>
      </c>
      <c r="E2503" s="11"/>
      <c r="F2503" s="9"/>
    </row>
    <row r="2504" s="1" customFormat="1" customHeight="1" spans="1:6">
      <c r="A2504" s="9" t="str">
        <f>"10360108412"</f>
        <v>10360108412</v>
      </c>
      <c r="B2504" s="10">
        <v>0</v>
      </c>
      <c r="C2504" s="9"/>
      <c r="D2504" s="9">
        <f t="shared" si="39"/>
        <v>0</v>
      </c>
      <c r="E2504" s="11"/>
      <c r="F2504" s="9" t="s">
        <v>7</v>
      </c>
    </row>
    <row r="2505" s="1" customFormat="1" customHeight="1" spans="1:6">
      <c r="A2505" s="9" t="str">
        <f>"10530108413"</f>
        <v>10530108413</v>
      </c>
      <c r="B2505" s="10">
        <v>33.04</v>
      </c>
      <c r="C2505" s="9"/>
      <c r="D2505" s="9">
        <f t="shared" si="39"/>
        <v>33.04</v>
      </c>
      <c r="E2505" s="11"/>
      <c r="F2505" s="9"/>
    </row>
    <row r="2506" s="1" customFormat="1" customHeight="1" spans="1:6">
      <c r="A2506" s="9" t="str">
        <f>"10040108414"</f>
        <v>10040108414</v>
      </c>
      <c r="B2506" s="10">
        <v>41.23</v>
      </c>
      <c r="C2506" s="9"/>
      <c r="D2506" s="9">
        <f t="shared" si="39"/>
        <v>41.23</v>
      </c>
      <c r="E2506" s="11"/>
      <c r="F2506" s="9"/>
    </row>
    <row r="2507" s="1" customFormat="1" customHeight="1" spans="1:6">
      <c r="A2507" s="9" t="str">
        <f>"10360108415"</f>
        <v>10360108415</v>
      </c>
      <c r="B2507" s="10">
        <v>0</v>
      </c>
      <c r="C2507" s="9"/>
      <c r="D2507" s="9">
        <f t="shared" si="39"/>
        <v>0</v>
      </c>
      <c r="E2507" s="11"/>
      <c r="F2507" s="9" t="s">
        <v>7</v>
      </c>
    </row>
    <row r="2508" s="1" customFormat="1" customHeight="1" spans="1:6">
      <c r="A2508" s="9" t="str">
        <f>"10200108416"</f>
        <v>10200108416</v>
      </c>
      <c r="B2508" s="10">
        <v>43.52</v>
      </c>
      <c r="C2508" s="9"/>
      <c r="D2508" s="9">
        <f t="shared" si="39"/>
        <v>43.52</v>
      </c>
      <c r="E2508" s="11"/>
      <c r="F2508" s="9"/>
    </row>
    <row r="2509" s="1" customFormat="1" customHeight="1" spans="1:6">
      <c r="A2509" s="9" t="str">
        <f>"10010108417"</f>
        <v>10010108417</v>
      </c>
      <c r="B2509" s="10">
        <v>35.94</v>
      </c>
      <c r="C2509" s="9"/>
      <c r="D2509" s="9">
        <f t="shared" si="39"/>
        <v>35.94</v>
      </c>
      <c r="E2509" s="11"/>
      <c r="F2509" s="9"/>
    </row>
    <row r="2510" s="1" customFormat="1" customHeight="1" spans="1:6">
      <c r="A2510" s="9" t="str">
        <f>"10080108418"</f>
        <v>10080108418</v>
      </c>
      <c r="B2510" s="10">
        <v>37.41</v>
      </c>
      <c r="C2510" s="9"/>
      <c r="D2510" s="9">
        <f t="shared" si="39"/>
        <v>37.41</v>
      </c>
      <c r="E2510" s="11"/>
      <c r="F2510" s="9"/>
    </row>
    <row r="2511" s="1" customFormat="1" customHeight="1" spans="1:6">
      <c r="A2511" s="9" t="str">
        <f>"10490108419"</f>
        <v>10490108419</v>
      </c>
      <c r="B2511" s="10">
        <v>0</v>
      </c>
      <c r="C2511" s="9"/>
      <c r="D2511" s="9">
        <f t="shared" si="39"/>
        <v>0</v>
      </c>
      <c r="E2511" s="11"/>
      <c r="F2511" s="9" t="s">
        <v>7</v>
      </c>
    </row>
    <row r="2512" s="1" customFormat="1" customHeight="1" spans="1:6">
      <c r="A2512" s="9" t="str">
        <f>"10230108420"</f>
        <v>10230108420</v>
      </c>
      <c r="B2512" s="10">
        <v>0</v>
      </c>
      <c r="C2512" s="9"/>
      <c r="D2512" s="9">
        <f t="shared" si="39"/>
        <v>0</v>
      </c>
      <c r="E2512" s="11"/>
      <c r="F2512" s="9" t="s">
        <v>7</v>
      </c>
    </row>
    <row r="2513" s="1" customFormat="1" customHeight="1" spans="1:6">
      <c r="A2513" s="9" t="str">
        <f>"10130108421"</f>
        <v>10130108421</v>
      </c>
      <c r="B2513" s="10">
        <v>35.64</v>
      </c>
      <c r="C2513" s="9"/>
      <c r="D2513" s="9">
        <f t="shared" si="39"/>
        <v>35.64</v>
      </c>
      <c r="E2513" s="11"/>
      <c r="F2513" s="9"/>
    </row>
    <row r="2514" s="1" customFormat="1" customHeight="1" spans="1:6">
      <c r="A2514" s="9" t="str">
        <f>"10530108422"</f>
        <v>10530108422</v>
      </c>
      <c r="B2514" s="10">
        <v>36.05</v>
      </c>
      <c r="C2514" s="9"/>
      <c r="D2514" s="9">
        <f t="shared" si="39"/>
        <v>36.05</v>
      </c>
      <c r="E2514" s="11"/>
      <c r="F2514" s="9"/>
    </row>
    <row r="2515" s="1" customFormat="1" customHeight="1" spans="1:6">
      <c r="A2515" s="9" t="str">
        <f>"10300108423"</f>
        <v>10300108423</v>
      </c>
      <c r="B2515" s="10">
        <v>35.93</v>
      </c>
      <c r="C2515" s="9"/>
      <c r="D2515" s="9">
        <f t="shared" si="39"/>
        <v>35.93</v>
      </c>
      <c r="E2515" s="11"/>
      <c r="F2515" s="9"/>
    </row>
    <row r="2516" s="1" customFormat="1" customHeight="1" spans="1:6">
      <c r="A2516" s="9" t="str">
        <f>"10360108424"</f>
        <v>10360108424</v>
      </c>
      <c r="B2516" s="10">
        <v>0</v>
      </c>
      <c r="C2516" s="9">
        <v>10</v>
      </c>
      <c r="D2516" s="9">
        <f t="shared" si="39"/>
        <v>10</v>
      </c>
      <c r="E2516" s="12" t="s">
        <v>8</v>
      </c>
      <c r="F2516" s="9" t="s">
        <v>7</v>
      </c>
    </row>
    <row r="2517" s="1" customFormat="1" customHeight="1" spans="1:6">
      <c r="A2517" s="9" t="str">
        <f>"10360108425"</f>
        <v>10360108425</v>
      </c>
      <c r="B2517" s="10">
        <v>43.69</v>
      </c>
      <c r="C2517" s="9"/>
      <c r="D2517" s="9">
        <f t="shared" si="39"/>
        <v>43.69</v>
      </c>
      <c r="E2517" s="11"/>
      <c r="F2517" s="9"/>
    </row>
    <row r="2518" s="1" customFormat="1" customHeight="1" spans="1:6">
      <c r="A2518" s="9" t="str">
        <f>"10360108426"</f>
        <v>10360108426</v>
      </c>
      <c r="B2518" s="10">
        <v>0</v>
      </c>
      <c r="C2518" s="9"/>
      <c r="D2518" s="9">
        <f t="shared" si="39"/>
        <v>0</v>
      </c>
      <c r="E2518" s="11"/>
      <c r="F2518" s="9" t="s">
        <v>7</v>
      </c>
    </row>
    <row r="2519" s="1" customFormat="1" customHeight="1" spans="1:6">
      <c r="A2519" s="9" t="str">
        <f>"10280108427"</f>
        <v>10280108427</v>
      </c>
      <c r="B2519" s="10">
        <v>33.86</v>
      </c>
      <c r="C2519" s="9"/>
      <c r="D2519" s="9">
        <f t="shared" si="39"/>
        <v>33.86</v>
      </c>
      <c r="E2519" s="11"/>
      <c r="F2519" s="9"/>
    </row>
    <row r="2520" s="1" customFormat="1" customHeight="1" spans="1:6">
      <c r="A2520" s="9" t="str">
        <f>"10130108428"</f>
        <v>10130108428</v>
      </c>
      <c r="B2520" s="10">
        <v>42.49</v>
      </c>
      <c r="C2520" s="9">
        <v>10</v>
      </c>
      <c r="D2520" s="9">
        <f t="shared" si="39"/>
        <v>52.49</v>
      </c>
      <c r="E2520" s="12" t="s">
        <v>8</v>
      </c>
      <c r="F2520" s="9"/>
    </row>
    <row r="2521" s="1" customFormat="1" customHeight="1" spans="1:6">
      <c r="A2521" s="9" t="str">
        <f>"10110108429"</f>
        <v>10110108429</v>
      </c>
      <c r="B2521" s="10">
        <v>37.36</v>
      </c>
      <c r="C2521" s="9"/>
      <c r="D2521" s="9">
        <f t="shared" si="39"/>
        <v>37.36</v>
      </c>
      <c r="E2521" s="11"/>
      <c r="F2521" s="9"/>
    </row>
    <row r="2522" s="1" customFormat="1" customHeight="1" spans="1:6">
      <c r="A2522" s="9" t="str">
        <f>"10500108430"</f>
        <v>10500108430</v>
      </c>
      <c r="B2522" s="10">
        <v>0</v>
      </c>
      <c r="C2522" s="9"/>
      <c r="D2522" s="9">
        <f t="shared" si="39"/>
        <v>0</v>
      </c>
      <c r="E2522" s="11"/>
      <c r="F2522" s="9" t="s">
        <v>7</v>
      </c>
    </row>
    <row r="2523" s="1" customFormat="1" customHeight="1" spans="1:6">
      <c r="A2523" s="9" t="str">
        <f>"10060108501"</f>
        <v>10060108501</v>
      </c>
      <c r="B2523" s="10">
        <v>0</v>
      </c>
      <c r="C2523" s="9"/>
      <c r="D2523" s="9">
        <f t="shared" si="39"/>
        <v>0</v>
      </c>
      <c r="E2523" s="11"/>
      <c r="F2523" s="9" t="s">
        <v>7</v>
      </c>
    </row>
    <row r="2524" s="1" customFormat="1" customHeight="1" spans="1:6">
      <c r="A2524" s="9" t="str">
        <f>"10500108502"</f>
        <v>10500108502</v>
      </c>
      <c r="B2524" s="10">
        <v>32.69</v>
      </c>
      <c r="C2524" s="9"/>
      <c r="D2524" s="9">
        <f t="shared" si="39"/>
        <v>32.69</v>
      </c>
      <c r="E2524" s="11"/>
      <c r="F2524" s="9"/>
    </row>
    <row r="2525" s="1" customFormat="1" customHeight="1" spans="1:6">
      <c r="A2525" s="9" t="str">
        <f>"10500108503"</f>
        <v>10500108503</v>
      </c>
      <c r="B2525" s="10">
        <v>32.9</v>
      </c>
      <c r="C2525" s="9"/>
      <c r="D2525" s="9">
        <f t="shared" si="39"/>
        <v>32.9</v>
      </c>
      <c r="E2525" s="11"/>
      <c r="F2525" s="9"/>
    </row>
    <row r="2526" s="1" customFormat="1" customHeight="1" spans="1:6">
      <c r="A2526" s="9" t="str">
        <f>"10110108504"</f>
        <v>10110108504</v>
      </c>
      <c r="B2526" s="10">
        <v>41.55</v>
      </c>
      <c r="C2526" s="9"/>
      <c r="D2526" s="9">
        <f t="shared" si="39"/>
        <v>41.55</v>
      </c>
      <c r="E2526" s="11"/>
      <c r="F2526" s="9"/>
    </row>
    <row r="2527" s="1" customFormat="1" customHeight="1" spans="1:6">
      <c r="A2527" s="9" t="str">
        <f>"10160108505"</f>
        <v>10160108505</v>
      </c>
      <c r="B2527" s="10">
        <v>34.75</v>
      </c>
      <c r="C2527" s="9"/>
      <c r="D2527" s="9">
        <f t="shared" si="39"/>
        <v>34.75</v>
      </c>
      <c r="E2527" s="11"/>
      <c r="F2527" s="9"/>
    </row>
    <row r="2528" s="1" customFormat="1" customHeight="1" spans="1:6">
      <c r="A2528" s="9" t="str">
        <f>"10130108506"</f>
        <v>10130108506</v>
      </c>
      <c r="B2528" s="10">
        <v>49.41</v>
      </c>
      <c r="C2528" s="9"/>
      <c r="D2528" s="9">
        <f t="shared" si="39"/>
        <v>49.41</v>
      </c>
      <c r="E2528" s="11"/>
      <c r="F2528" s="9"/>
    </row>
    <row r="2529" s="1" customFormat="1" customHeight="1" spans="1:6">
      <c r="A2529" s="9" t="str">
        <f>"10140108507"</f>
        <v>10140108507</v>
      </c>
      <c r="B2529" s="10">
        <v>39.45</v>
      </c>
      <c r="C2529" s="9"/>
      <c r="D2529" s="9">
        <f t="shared" si="39"/>
        <v>39.45</v>
      </c>
      <c r="E2529" s="11"/>
      <c r="F2529" s="9"/>
    </row>
    <row r="2530" s="1" customFormat="1" customHeight="1" spans="1:6">
      <c r="A2530" s="9" t="str">
        <f>"10530108508"</f>
        <v>10530108508</v>
      </c>
      <c r="B2530" s="10">
        <v>35.75</v>
      </c>
      <c r="C2530" s="9"/>
      <c r="D2530" s="9">
        <f t="shared" si="39"/>
        <v>35.75</v>
      </c>
      <c r="E2530" s="11"/>
      <c r="F2530" s="9"/>
    </row>
    <row r="2531" s="1" customFormat="1" customHeight="1" spans="1:6">
      <c r="A2531" s="9" t="str">
        <f>"10510108509"</f>
        <v>10510108509</v>
      </c>
      <c r="B2531" s="10">
        <v>0</v>
      </c>
      <c r="C2531" s="9"/>
      <c r="D2531" s="9">
        <f t="shared" si="39"/>
        <v>0</v>
      </c>
      <c r="E2531" s="11"/>
      <c r="F2531" s="9" t="s">
        <v>7</v>
      </c>
    </row>
    <row r="2532" s="1" customFormat="1" customHeight="1" spans="1:6">
      <c r="A2532" s="9" t="str">
        <f>"10520108510"</f>
        <v>10520108510</v>
      </c>
      <c r="B2532" s="10">
        <v>39.31</v>
      </c>
      <c r="C2532" s="9"/>
      <c r="D2532" s="9">
        <f t="shared" si="39"/>
        <v>39.31</v>
      </c>
      <c r="E2532" s="11"/>
      <c r="F2532" s="9"/>
    </row>
    <row r="2533" s="1" customFormat="1" customHeight="1" spans="1:6">
      <c r="A2533" s="9" t="str">
        <f>"10440108511"</f>
        <v>10440108511</v>
      </c>
      <c r="B2533" s="10">
        <v>42.21</v>
      </c>
      <c r="C2533" s="9"/>
      <c r="D2533" s="9">
        <f t="shared" si="39"/>
        <v>42.21</v>
      </c>
      <c r="E2533" s="11"/>
      <c r="F2533" s="9"/>
    </row>
    <row r="2534" s="1" customFormat="1" customHeight="1" spans="1:6">
      <c r="A2534" s="9" t="str">
        <f>"10130108512"</f>
        <v>10130108512</v>
      </c>
      <c r="B2534" s="10">
        <v>37.54</v>
      </c>
      <c r="C2534" s="9"/>
      <c r="D2534" s="9">
        <f t="shared" si="39"/>
        <v>37.54</v>
      </c>
      <c r="E2534" s="11"/>
      <c r="F2534" s="9"/>
    </row>
    <row r="2535" s="1" customFormat="1" customHeight="1" spans="1:6">
      <c r="A2535" s="9" t="str">
        <f>"10360108513"</f>
        <v>10360108513</v>
      </c>
      <c r="B2535" s="10">
        <v>0</v>
      </c>
      <c r="C2535" s="9"/>
      <c r="D2535" s="9">
        <f t="shared" si="39"/>
        <v>0</v>
      </c>
      <c r="E2535" s="11"/>
      <c r="F2535" s="9" t="s">
        <v>7</v>
      </c>
    </row>
    <row r="2536" s="1" customFormat="1" customHeight="1" spans="1:6">
      <c r="A2536" s="9" t="str">
        <f>"10360108514"</f>
        <v>10360108514</v>
      </c>
      <c r="B2536" s="10">
        <v>38.04</v>
      </c>
      <c r="C2536" s="9"/>
      <c r="D2536" s="9">
        <f t="shared" si="39"/>
        <v>38.04</v>
      </c>
      <c r="E2536" s="11"/>
      <c r="F2536" s="9"/>
    </row>
    <row r="2537" s="1" customFormat="1" customHeight="1" spans="1:6">
      <c r="A2537" s="9" t="str">
        <f>"10230108515"</f>
        <v>10230108515</v>
      </c>
      <c r="B2537" s="10">
        <v>41.32</v>
      </c>
      <c r="C2537" s="9"/>
      <c r="D2537" s="9">
        <f t="shared" si="39"/>
        <v>41.32</v>
      </c>
      <c r="E2537" s="11"/>
      <c r="F2537" s="9"/>
    </row>
    <row r="2538" s="1" customFormat="1" customHeight="1" spans="1:6">
      <c r="A2538" s="9" t="str">
        <f>"10360108516"</f>
        <v>10360108516</v>
      </c>
      <c r="B2538" s="10">
        <v>31.82</v>
      </c>
      <c r="C2538" s="9"/>
      <c r="D2538" s="9">
        <f t="shared" si="39"/>
        <v>31.82</v>
      </c>
      <c r="E2538" s="11"/>
      <c r="F2538" s="9"/>
    </row>
    <row r="2539" s="1" customFormat="1" customHeight="1" spans="1:6">
      <c r="A2539" s="9" t="str">
        <f>"10110108517"</f>
        <v>10110108517</v>
      </c>
      <c r="B2539" s="10">
        <v>63.28</v>
      </c>
      <c r="C2539" s="9"/>
      <c r="D2539" s="9">
        <f t="shared" si="39"/>
        <v>63.28</v>
      </c>
      <c r="E2539" s="11"/>
      <c r="F2539" s="9"/>
    </row>
    <row r="2540" s="1" customFormat="1" customHeight="1" spans="1:6">
      <c r="A2540" s="9" t="str">
        <f>"10360108518"</f>
        <v>10360108518</v>
      </c>
      <c r="B2540" s="10">
        <v>0</v>
      </c>
      <c r="C2540" s="9"/>
      <c r="D2540" s="9">
        <f t="shared" si="39"/>
        <v>0</v>
      </c>
      <c r="E2540" s="11"/>
      <c r="F2540" s="9" t="s">
        <v>7</v>
      </c>
    </row>
    <row r="2541" s="1" customFormat="1" customHeight="1" spans="1:6">
      <c r="A2541" s="9" t="str">
        <f>"10510108519"</f>
        <v>10510108519</v>
      </c>
      <c r="B2541" s="10">
        <v>41.62</v>
      </c>
      <c r="C2541" s="9"/>
      <c r="D2541" s="9">
        <f t="shared" si="39"/>
        <v>41.62</v>
      </c>
      <c r="E2541" s="11"/>
      <c r="F2541" s="9"/>
    </row>
    <row r="2542" s="1" customFormat="1" customHeight="1" spans="1:6">
      <c r="A2542" s="9" t="str">
        <f>"10100108520"</f>
        <v>10100108520</v>
      </c>
      <c r="B2542" s="10">
        <v>43.38</v>
      </c>
      <c r="C2542" s="9"/>
      <c r="D2542" s="9">
        <f t="shared" si="39"/>
        <v>43.38</v>
      </c>
      <c r="E2542" s="11"/>
      <c r="F2542" s="9"/>
    </row>
    <row r="2543" s="1" customFormat="1" customHeight="1" spans="1:6">
      <c r="A2543" s="9" t="str">
        <f>"10170108521"</f>
        <v>10170108521</v>
      </c>
      <c r="B2543" s="10">
        <v>0</v>
      </c>
      <c r="C2543" s="9"/>
      <c r="D2543" s="9">
        <f t="shared" si="39"/>
        <v>0</v>
      </c>
      <c r="E2543" s="11"/>
      <c r="F2543" s="9" t="s">
        <v>7</v>
      </c>
    </row>
    <row r="2544" s="1" customFormat="1" customHeight="1" spans="1:6">
      <c r="A2544" s="9" t="str">
        <f>"10360108522"</f>
        <v>10360108522</v>
      </c>
      <c r="B2544" s="10">
        <v>40.56</v>
      </c>
      <c r="C2544" s="9"/>
      <c r="D2544" s="9">
        <f t="shared" si="39"/>
        <v>40.56</v>
      </c>
      <c r="E2544" s="11"/>
      <c r="F2544" s="9"/>
    </row>
    <row r="2545" s="1" customFormat="1" customHeight="1" spans="1:6">
      <c r="A2545" s="9" t="str">
        <f>"10020108523"</f>
        <v>10020108523</v>
      </c>
      <c r="B2545" s="10">
        <v>42.5</v>
      </c>
      <c r="C2545" s="9"/>
      <c r="D2545" s="9">
        <f t="shared" si="39"/>
        <v>42.5</v>
      </c>
      <c r="E2545" s="11"/>
      <c r="F2545" s="9"/>
    </row>
    <row r="2546" s="1" customFormat="1" customHeight="1" spans="1:6">
      <c r="A2546" s="9" t="str">
        <f>"10360108524"</f>
        <v>10360108524</v>
      </c>
      <c r="B2546" s="10">
        <v>40.17</v>
      </c>
      <c r="C2546" s="9"/>
      <c r="D2546" s="9">
        <f t="shared" si="39"/>
        <v>40.17</v>
      </c>
      <c r="E2546" s="11"/>
      <c r="F2546" s="9"/>
    </row>
    <row r="2547" s="1" customFormat="1" customHeight="1" spans="1:6">
      <c r="A2547" s="9" t="str">
        <f>"10360108525"</f>
        <v>10360108525</v>
      </c>
      <c r="B2547" s="10">
        <v>0</v>
      </c>
      <c r="C2547" s="9"/>
      <c r="D2547" s="9">
        <f t="shared" si="39"/>
        <v>0</v>
      </c>
      <c r="E2547" s="11"/>
      <c r="F2547" s="9" t="s">
        <v>7</v>
      </c>
    </row>
    <row r="2548" s="1" customFormat="1" customHeight="1" spans="1:6">
      <c r="A2548" s="9" t="str">
        <f>"10360108526"</f>
        <v>10360108526</v>
      </c>
      <c r="B2548" s="10">
        <v>0</v>
      </c>
      <c r="C2548" s="9"/>
      <c r="D2548" s="9">
        <f t="shared" si="39"/>
        <v>0</v>
      </c>
      <c r="E2548" s="11"/>
      <c r="F2548" s="9" t="s">
        <v>7</v>
      </c>
    </row>
    <row r="2549" s="1" customFormat="1" customHeight="1" spans="1:6">
      <c r="A2549" s="9" t="str">
        <f>"10210108527"</f>
        <v>10210108527</v>
      </c>
      <c r="B2549" s="10">
        <v>50.24</v>
      </c>
      <c r="C2549" s="9"/>
      <c r="D2549" s="9">
        <f t="shared" si="39"/>
        <v>50.24</v>
      </c>
      <c r="E2549" s="11"/>
      <c r="F2549" s="9"/>
    </row>
    <row r="2550" s="1" customFormat="1" customHeight="1" spans="1:6">
      <c r="A2550" s="9" t="str">
        <f>"10330108528"</f>
        <v>10330108528</v>
      </c>
      <c r="B2550" s="10">
        <v>43.25</v>
      </c>
      <c r="C2550" s="9"/>
      <c r="D2550" s="9">
        <f t="shared" si="39"/>
        <v>43.25</v>
      </c>
      <c r="E2550" s="11"/>
      <c r="F2550" s="9"/>
    </row>
    <row r="2551" s="1" customFormat="1" customHeight="1" spans="1:6">
      <c r="A2551" s="9" t="str">
        <f>"10160108529"</f>
        <v>10160108529</v>
      </c>
      <c r="B2551" s="10">
        <v>33.64</v>
      </c>
      <c r="C2551" s="9"/>
      <c r="D2551" s="9">
        <f t="shared" si="39"/>
        <v>33.64</v>
      </c>
      <c r="E2551" s="11"/>
      <c r="F2551" s="9"/>
    </row>
    <row r="2552" s="1" customFormat="1" customHeight="1" spans="1:6">
      <c r="A2552" s="9" t="str">
        <f>"10120108530"</f>
        <v>10120108530</v>
      </c>
      <c r="B2552" s="10">
        <v>0</v>
      </c>
      <c r="C2552" s="9"/>
      <c r="D2552" s="9">
        <f t="shared" si="39"/>
        <v>0</v>
      </c>
      <c r="E2552" s="11"/>
      <c r="F2552" s="9" t="s">
        <v>7</v>
      </c>
    </row>
    <row r="2553" s="1" customFormat="1" customHeight="1" spans="1:6">
      <c r="A2553" s="9" t="str">
        <f>"10130108601"</f>
        <v>10130108601</v>
      </c>
      <c r="B2553" s="10">
        <v>0</v>
      </c>
      <c r="C2553" s="9"/>
      <c r="D2553" s="9">
        <f t="shared" si="39"/>
        <v>0</v>
      </c>
      <c r="E2553" s="11"/>
      <c r="F2553" s="9" t="s">
        <v>7</v>
      </c>
    </row>
    <row r="2554" s="1" customFormat="1" customHeight="1" spans="1:6">
      <c r="A2554" s="9" t="str">
        <f>"10500108602"</f>
        <v>10500108602</v>
      </c>
      <c r="B2554" s="10">
        <v>0</v>
      </c>
      <c r="C2554" s="9"/>
      <c r="D2554" s="9">
        <f t="shared" si="39"/>
        <v>0</v>
      </c>
      <c r="E2554" s="11"/>
      <c r="F2554" s="9" t="s">
        <v>7</v>
      </c>
    </row>
    <row r="2555" s="1" customFormat="1" customHeight="1" spans="1:6">
      <c r="A2555" s="9" t="str">
        <f>"20270108603"</f>
        <v>20270108603</v>
      </c>
      <c r="B2555" s="10">
        <v>47.32</v>
      </c>
      <c r="C2555" s="9"/>
      <c r="D2555" s="9">
        <f t="shared" si="39"/>
        <v>47.32</v>
      </c>
      <c r="E2555" s="11"/>
      <c r="F2555" s="9"/>
    </row>
    <row r="2556" s="1" customFormat="1" customHeight="1" spans="1:6">
      <c r="A2556" s="9" t="str">
        <f>"10210108604"</f>
        <v>10210108604</v>
      </c>
      <c r="B2556" s="10">
        <v>0</v>
      </c>
      <c r="C2556" s="9"/>
      <c r="D2556" s="9">
        <f t="shared" si="39"/>
        <v>0</v>
      </c>
      <c r="E2556" s="11"/>
      <c r="F2556" s="9" t="s">
        <v>7</v>
      </c>
    </row>
    <row r="2557" s="1" customFormat="1" customHeight="1" spans="1:6">
      <c r="A2557" s="9" t="str">
        <f>"10100108605"</f>
        <v>10100108605</v>
      </c>
      <c r="B2557" s="10">
        <v>38.08</v>
      </c>
      <c r="C2557" s="9"/>
      <c r="D2557" s="9">
        <f t="shared" si="39"/>
        <v>38.08</v>
      </c>
      <c r="E2557" s="11"/>
      <c r="F2557" s="9"/>
    </row>
    <row r="2558" s="1" customFormat="1" customHeight="1" spans="1:6">
      <c r="A2558" s="9" t="str">
        <f>"10530108606"</f>
        <v>10530108606</v>
      </c>
      <c r="B2558" s="10">
        <v>83.48</v>
      </c>
      <c r="C2558" s="9"/>
      <c r="D2558" s="9">
        <f t="shared" si="39"/>
        <v>83.48</v>
      </c>
      <c r="E2558" s="11"/>
      <c r="F2558" s="9"/>
    </row>
    <row r="2559" s="1" customFormat="1" customHeight="1" spans="1:6">
      <c r="A2559" s="9" t="str">
        <f>"10530108607"</f>
        <v>10530108607</v>
      </c>
      <c r="B2559" s="10">
        <v>0</v>
      </c>
      <c r="C2559" s="9"/>
      <c r="D2559" s="9">
        <f t="shared" si="39"/>
        <v>0</v>
      </c>
      <c r="E2559" s="11"/>
      <c r="F2559" s="9" t="s">
        <v>7</v>
      </c>
    </row>
    <row r="2560" s="1" customFormat="1" customHeight="1" spans="1:6">
      <c r="A2560" s="9" t="str">
        <f>"10360108608"</f>
        <v>10360108608</v>
      </c>
      <c r="B2560" s="10">
        <v>0</v>
      </c>
      <c r="C2560" s="9"/>
      <c r="D2560" s="9">
        <f t="shared" si="39"/>
        <v>0</v>
      </c>
      <c r="E2560" s="11"/>
      <c r="F2560" s="9" t="s">
        <v>7</v>
      </c>
    </row>
    <row r="2561" s="1" customFormat="1" customHeight="1" spans="1:6">
      <c r="A2561" s="9" t="str">
        <f>"10080108609"</f>
        <v>10080108609</v>
      </c>
      <c r="B2561" s="10">
        <v>0</v>
      </c>
      <c r="C2561" s="9"/>
      <c r="D2561" s="9">
        <f t="shared" si="39"/>
        <v>0</v>
      </c>
      <c r="E2561" s="11"/>
      <c r="F2561" s="9" t="s">
        <v>7</v>
      </c>
    </row>
    <row r="2562" s="1" customFormat="1" customHeight="1" spans="1:6">
      <c r="A2562" s="9" t="str">
        <f>"10360108610"</f>
        <v>10360108610</v>
      </c>
      <c r="B2562" s="10">
        <v>0</v>
      </c>
      <c r="C2562" s="9"/>
      <c r="D2562" s="9">
        <f t="shared" si="39"/>
        <v>0</v>
      </c>
      <c r="E2562" s="11"/>
      <c r="F2562" s="9" t="s">
        <v>7</v>
      </c>
    </row>
    <row r="2563" s="1" customFormat="1" customHeight="1" spans="1:6">
      <c r="A2563" s="9" t="str">
        <f>"10520108611"</f>
        <v>10520108611</v>
      </c>
      <c r="B2563" s="10">
        <v>48.1</v>
      </c>
      <c r="C2563" s="9"/>
      <c r="D2563" s="9">
        <f t="shared" ref="D2563:D2626" si="40">SUM(B2563:C2563)</f>
        <v>48.1</v>
      </c>
      <c r="E2563" s="11"/>
      <c r="F2563" s="9"/>
    </row>
    <row r="2564" s="1" customFormat="1" customHeight="1" spans="1:6">
      <c r="A2564" s="9" t="str">
        <f>"10360108612"</f>
        <v>10360108612</v>
      </c>
      <c r="B2564" s="10">
        <v>43.61</v>
      </c>
      <c r="C2564" s="9"/>
      <c r="D2564" s="9">
        <f t="shared" si="40"/>
        <v>43.61</v>
      </c>
      <c r="E2564" s="11"/>
      <c r="F2564" s="9"/>
    </row>
    <row r="2565" s="1" customFormat="1" customHeight="1" spans="1:6">
      <c r="A2565" s="9" t="str">
        <f>"10320108613"</f>
        <v>10320108613</v>
      </c>
      <c r="B2565" s="10">
        <v>39.63</v>
      </c>
      <c r="C2565" s="9"/>
      <c r="D2565" s="9">
        <f t="shared" si="40"/>
        <v>39.63</v>
      </c>
      <c r="E2565" s="11"/>
      <c r="F2565" s="9"/>
    </row>
    <row r="2566" s="1" customFormat="1" customHeight="1" spans="1:6">
      <c r="A2566" s="9" t="str">
        <f>"10440108614"</f>
        <v>10440108614</v>
      </c>
      <c r="B2566" s="10">
        <v>44.59</v>
      </c>
      <c r="C2566" s="9"/>
      <c r="D2566" s="9">
        <f t="shared" si="40"/>
        <v>44.59</v>
      </c>
      <c r="E2566" s="11"/>
      <c r="F2566" s="9"/>
    </row>
    <row r="2567" s="1" customFormat="1" customHeight="1" spans="1:6">
      <c r="A2567" s="9" t="str">
        <f>"10360108615"</f>
        <v>10360108615</v>
      </c>
      <c r="B2567" s="10">
        <v>32.84</v>
      </c>
      <c r="C2567" s="9"/>
      <c r="D2567" s="9">
        <f t="shared" si="40"/>
        <v>32.84</v>
      </c>
      <c r="E2567" s="11"/>
      <c r="F2567" s="9"/>
    </row>
    <row r="2568" s="1" customFormat="1" customHeight="1" spans="1:6">
      <c r="A2568" s="9" t="str">
        <f>"10450108616"</f>
        <v>10450108616</v>
      </c>
      <c r="B2568" s="10">
        <v>0</v>
      </c>
      <c r="C2568" s="9"/>
      <c r="D2568" s="9">
        <f t="shared" si="40"/>
        <v>0</v>
      </c>
      <c r="E2568" s="11"/>
      <c r="F2568" s="9" t="s">
        <v>7</v>
      </c>
    </row>
    <row r="2569" s="1" customFormat="1" customHeight="1" spans="1:6">
      <c r="A2569" s="9" t="str">
        <f>"10390108617"</f>
        <v>10390108617</v>
      </c>
      <c r="B2569" s="10">
        <v>38.08</v>
      </c>
      <c r="C2569" s="9"/>
      <c r="D2569" s="9">
        <f t="shared" si="40"/>
        <v>38.08</v>
      </c>
      <c r="E2569" s="11"/>
      <c r="F2569" s="9"/>
    </row>
    <row r="2570" s="1" customFormat="1" customHeight="1" spans="1:6">
      <c r="A2570" s="9" t="str">
        <f>"10370108618"</f>
        <v>10370108618</v>
      </c>
      <c r="B2570" s="10">
        <v>42.74</v>
      </c>
      <c r="C2570" s="9"/>
      <c r="D2570" s="9">
        <f t="shared" si="40"/>
        <v>42.74</v>
      </c>
      <c r="E2570" s="11"/>
      <c r="F2570" s="9"/>
    </row>
    <row r="2571" s="1" customFormat="1" customHeight="1" spans="1:6">
      <c r="A2571" s="9" t="str">
        <f>"10500108619"</f>
        <v>10500108619</v>
      </c>
      <c r="B2571" s="10">
        <v>34.03</v>
      </c>
      <c r="C2571" s="9"/>
      <c r="D2571" s="9">
        <f t="shared" si="40"/>
        <v>34.03</v>
      </c>
      <c r="E2571" s="11"/>
      <c r="F2571" s="9"/>
    </row>
    <row r="2572" s="1" customFormat="1" customHeight="1" spans="1:6">
      <c r="A2572" s="9" t="str">
        <f>"10330108620"</f>
        <v>10330108620</v>
      </c>
      <c r="B2572" s="10">
        <v>48.24</v>
      </c>
      <c r="C2572" s="9"/>
      <c r="D2572" s="9">
        <f t="shared" si="40"/>
        <v>48.24</v>
      </c>
      <c r="E2572" s="11"/>
      <c r="F2572" s="9"/>
    </row>
    <row r="2573" s="1" customFormat="1" customHeight="1" spans="1:6">
      <c r="A2573" s="9" t="str">
        <f>"10170108621"</f>
        <v>10170108621</v>
      </c>
      <c r="B2573" s="10">
        <v>0</v>
      </c>
      <c r="C2573" s="9"/>
      <c r="D2573" s="9">
        <f t="shared" si="40"/>
        <v>0</v>
      </c>
      <c r="E2573" s="11"/>
      <c r="F2573" s="9" t="s">
        <v>7</v>
      </c>
    </row>
    <row r="2574" s="1" customFormat="1" customHeight="1" spans="1:6">
      <c r="A2574" s="9" t="str">
        <f>"10230108622"</f>
        <v>10230108622</v>
      </c>
      <c r="B2574" s="10">
        <v>0</v>
      </c>
      <c r="C2574" s="9"/>
      <c r="D2574" s="9">
        <f t="shared" si="40"/>
        <v>0</v>
      </c>
      <c r="E2574" s="11"/>
      <c r="F2574" s="9" t="s">
        <v>7</v>
      </c>
    </row>
    <row r="2575" s="1" customFormat="1" customHeight="1" spans="1:6">
      <c r="A2575" s="9" t="str">
        <f>"10360108623"</f>
        <v>10360108623</v>
      </c>
      <c r="B2575" s="10">
        <v>45.13</v>
      </c>
      <c r="C2575" s="9"/>
      <c r="D2575" s="9">
        <f t="shared" si="40"/>
        <v>45.13</v>
      </c>
      <c r="E2575" s="11"/>
      <c r="F2575" s="9"/>
    </row>
    <row r="2576" s="1" customFormat="1" customHeight="1" spans="1:6">
      <c r="A2576" s="9" t="str">
        <f>"10330108624"</f>
        <v>10330108624</v>
      </c>
      <c r="B2576" s="10">
        <v>0</v>
      </c>
      <c r="C2576" s="9"/>
      <c r="D2576" s="9">
        <f t="shared" si="40"/>
        <v>0</v>
      </c>
      <c r="E2576" s="11"/>
      <c r="F2576" s="9" t="s">
        <v>7</v>
      </c>
    </row>
    <row r="2577" s="1" customFormat="1" customHeight="1" spans="1:6">
      <c r="A2577" s="9" t="str">
        <f>"10360108625"</f>
        <v>10360108625</v>
      </c>
      <c r="B2577" s="10">
        <v>53.6</v>
      </c>
      <c r="C2577" s="9"/>
      <c r="D2577" s="9">
        <f t="shared" si="40"/>
        <v>53.6</v>
      </c>
      <c r="E2577" s="11"/>
      <c r="F2577" s="9"/>
    </row>
    <row r="2578" s="1" customFormat="1" customHeight="1" spans="1:6">
      <c r="A2578" s="9" t="str">
        <f>"10210108626"</f>
        <v>10210108626</v>
      </c>
      <c r="B2578" s="10">
        <v>45.18</v>
      </c>
      <c r="C2578" s="9"/>
      <c r="D2578" s="9">
        <f t="shared" si="40"/>
        <v>45.18</v>
      </c>
      <c r="E2578" s="11"/>
      <c r="F2578" s="9"/>
    </row>
    <row r="2579" s="1" customFormat="1" customHeight="1" spans="1:6">
      <c r="A2579" s="9" t="str">
        <f>"10090108627"</f>
        <v>10090108627</v>
      </c>
      <c r="B2579" s="10">
        <v>0</v>
      </c>
      <c r="C2579" s="9"/>
      <c r="D2579" s="9">
        <f t="shared" si="40"/>
        <v>0</v>
      </c>
      <c r="E2579" s="11"/>
      <c r="F2579" s="9" t="s">
        <v>7</v>
      </c>
    </row>
    <row r="2580" s="1" customFormat="1" customHeight="1" spans="1:6">
      <c r="A2580" s="9" t="str">
        <f>"10330108628"</f>
        <v>10330108628</v>
      </c>
      <c r="B2580" s="10">
        <v>43.31</v>
      </c>
      <c r="C2580" s="9"/>
      <c r="D2580" s="9">
        <f t="shared" si="40"/>
        <v>43.31</v>
      </c>
      <c r="E2580" s="11"/>
      <c r="F2580" s="9"/>
    </row>
    <row r="2581" s="1" customFormat="1" customHeight="1" spans="1:6">
      <c r="A2581" s="9" t="str">
        <f>"10210108629"</f>
        <v>10210108629</v>
      </c>
      <c r="B2581" s="10">
        <v>45.59</v>
      </c>
      <c r="C2581" s="9"/>
      <c r="D2581" s="9">
        <f t="shared" si="40"/>
        <v>45.59</v>
      </c>
      <c r="E2581" s="11"/>
      <c r="F2581" s="9"/>
    </row>
    <row r="2582" s="1" customFormat="1" customHeight="1" spans="1:6">
      <c r="A2582" s="9" t="str">
        <f>"20270108630"</f>
        <v>20270108630</v>
      </c>
      <c r="B2582" s="10">
        <v>43.37</v>
      </c>
      <c r="C2582" s="9"/>
      <c r="D2582" s="9">
        <f t="shared" si="40"/>
        <v>43.37</v>
      </c>
      <c r="E2582" s="11"/>
      <c r="F2582" s="9"/>
    </row>
    <row r="2583" s="1" customFormat="1" customHeight="1" spans="1:6">
      <c r="A2583" s="9" t="str">
        <f>"10530108701"</f>
        <v>10530108701</v>
      </c>
      <c r="B2583" s="10">
        <v>0</v>
      </c>
      <c r="C2583" s="9"/>
      <c r="D2583" s="9">
        <f t="shared" si="40"/>
        <v>0</v>
      </c>
      <c r="E2583" s="11"/>
      <c r="F2583" s="9" t="s">
        <v>7</v>
      </c>
    </row>
    <row r="2584" s="1" customFormat="1" customHeight="1" spans="1:6">
      <c r="A2584" s="9" t="str">
        <f>"10530108702"</f>
        <v>10530108702</v>
      </c>
      <c r="B2584" s="10">
        <v>0</v>
      </c>
      <c r="C2584" s="9"/>
      <c r="D2584" s="9">
        <f t="shared" si="40"/>
        <v>0</v>
      </c>
      <c r="E2584" s="11"/>
      <c r="F2584" s="9" t="s">
        <v>7</v>
      </c>
    </row>
    <row r="2585" s="1" customFormat="1" customHeight="1" spans="1:6">
      <c r="A2585" s="9" t="str">
        <f>"10160108703"</f>
        <v>10160108703</v>
      </c>
      <c r="B2585" s="10">
        <v>36.53</v>
      </c>
      <c r="C2585" s="9"/>
      <c r="D2585" s="9">
        <f t="shared" si="40"/>
        <v>36.53</v>
      </c>
      <c r="E2585" s="11"/>
      <c r="F2585" s="9"/>
    </row>
    <row r="2586" s="1" customFormat="1" customHeight="1" spans="1:6">
      <c r="A2586" s="9" t="str">
        <f>"10410108704"</f>
        <v>10410108704</v>
      </c>
      <c r="B2586" s="10">
        <v>44.34</v>
      </c>
      <c r="C2586" s="9"/>
      <c r="D2586" s="9">
        <f t="shared" si="40"/>
        <v>44.34</v>
      </c>
      <c r="E2586" s="11"/>
      <c r="F2586" s="9"/>
    </row>
    <row r="2587" s="1" customFormat="1" customHeight="1" spans="1:6">
      <c r="A2587" s="9" t="str">
        <f>"10020108705"</f>
        <v>10020108705</v>
      </c>
      <c r="B2587" s="10">
        <v>45.79</v>
      </c>
      <c r="C2587" s="9"/>
      <c r="D2587" s="9">
        <f t="shared" si="40"/>
        <v>45.79</v>
      </c>
      <c r="E2587" s="11"/>
      <c r="F2587" s="9"/>
    </row>
    <row r="2588" s="1" customFormat="1" customHeight="1" spans="1:6">
      <c r="A2588" s="9" t="str">
        <f>"10500108706"</f>
        <v>10500108706</v>
      </c>
      <c r="B2588" s="10">
        <v>0</v>
      </c>
      <c r="C2588" s="9"/>
      <c r="D2588" s="9">
        <f t="shared" si="40"/>
        <v>0</v>
      </c>
      <c r="E2588" s="11"/>
      <c r="F2588" s="9" t="s">
        <v>7</v>
      </c>
    </row>
    <row r="2589" s="1" customFormat="1" customHeight="1" spans="1:6">
      <c r="A2589" s="9" t="str">
        <f>"10330108707"</f>
        <v>10330108707</v>
      </c>
      <c r="B2589" s="10">
        <v>37.91</v>
      </c>
      <c r="C2589" s="9"/>
      <c r="D2589" s="9">
        <f t="shared" si="40"/>
        <v>37.91</v>
      </c>
      <c r="E2589" s="11"/>
      <c r="F2589" s="9"/>
    </row>
    <row r="2590" s="1" customFormat="1" customHeight="1" spans="1:6">
      <c r="A2590" s="9" t="str">
        <f>"10380108708"</f>
        <v>10380108708</v>
      </c>
      <c r="B2590" s="10">
        <v>0</v>
      </c>
      <c r="C2590" s="9"/>
      <c r="D2590" s="9">
        <f t="shared" si="40"/>
        <v>0</v>
      </c>
      <c r="E2590" s="11"/>
      <c r="F2590" s="9" t="s">
        <v>7</v>
      </c>
    </row>
    <row r="2591" s="1" customFormat="1" customHeight="1" spans="1:6">
      <c r="A2591" s="9" t="str">
        <f>"10120108709"</f>
        <v>10120108709</v>
      </c>
      <c r="B2591" s="10">
        <v>47.72</v>
      </c>
      <c r="C2591" s="9"/>
      <c r="D2591" s="9">
        <f t="shared" si="40"/>
        <v>47.72</v>
      </c>
      <c r="E2591" s="11"/>
      <c r="F2591" s="9"/>
    </row>
    <row r="2592" s="1" customFormat="1" customHeight="1" spans="1:6">
      <c r="A2592" s="9" t="str">
        <f>"10440108710"</f>
        <v>10440108710</v>
      </c>
      <c r="B2592" s="10">
        <v>47.78</v>
      </c>
      <c r="C2592" s="9"/>
      <c r="D2592" s="9">
        <f t="shared" si="40"/>
        <v>47.78</v>
      </c>
      <c r="E2592" s="11"/>
      <c r="F2592" s="9"/>
    </row>
    <row r="2593" s="1" customFormat="1" customHeight="1" spans="1:6">
      <c r="A2593" s="9" t="str">
        <f>"10040108711"</f>
        <v>10040108711</v>
      </c>
      <c r="B2593" s="10">
        <v>52.31</v>
      </c>
      <c r="C2593" s="9"/>
      <c r="D2593" s="9">
        <f t="shared" si="40"/>
        <v>52.31</v>
      </c>
      <c r="E2593" s="11"/>
      <c r="F2593" s="9"/>
    </row>
    <row r="2594" s="1" customFormat="1" customHeight="1" spans="1:6">
      <c r="A2594" s="9" t="str">
        <f>"10530108712"</f>
        <v>10530108712</v>
      </c>
      <c r="B2594" s="10">
        <v>44.94</v>
      </c>
      <c r="C2594" s="9"/>
      <c r="D2594" s="9">
        <f t="shared" si="40"/>
        <v>44.94</v>
      </c>
      <c r="E2594" s="11"/>
      <c r="F2594" s="9"/>
    </row>
    <row r="2595" s="1" customFormat="1" customHeight="1" spans="1:6">
      <c r="A2595" s="9" t="str">
        <f>"10320108713"</f>
        <v>10320108713</v>
      </c>
      <c r="B2595" s="10">
        <v>46.39</v>
      </c>
      <c r="C2595" s="9"/>
      <c r="D2595" s="9">
        <f t="shared" si="40"/>
        <v>46.39</v>
      </c>
      <c r="E2595" s="11"/>
      <c r="F2595" s="9"/>
    </row>
    <row r="2596" s="1" customFormat="1" customHeight="1" spans="1:6">
      <c r="A2596" s="9" t="str">
        <f>"10100108714"</f>
        <v>10100108714</v>
      </c>
      <c r="B2596" s="10">
        <v>44.37</v>
      </c>
      <c r="C2596" s="9"/>
      <c r="D2596" s="9">
        <f t="shared" si="40"/>
        <v>44.37</v>
      </c>
      <c r="E2596" s="11"/>
      <c r="F2596" s="9"/>
    </row>
    <row r="2597" s="1" customFormat="1" customHeight="1" spans="1:6">
      <c r="A2597" s="9" t="str">
        <f>"10230108715"</f>
        <v>10230108715</v>
      </c>
      <c r="B2597" s="10">
        <v>45.26</v>
      </c>
      <c r="C2597" s="9"/>
      <c r="D2597" s="9">
        <f t="shared" si="40"/>
        <v>45.26</v>
      </c>
      <c r="E2597" s="11"/>
      <c r="F2597" s="9"/>
    </row>
    <row r="2598" s="1" customFormat="1" customHeight="1" spans="1:6">
      <c r="A2598" s="9" t="str">
        <f>"10150108716"</f>
        <v>10150108716</v>
      </c>
      <c r="B2598" s="10">
        <v>0</v>
      </c>
      <c r="C2598" s="9"/>
      <c r="D2598" s="9">
        <f t="shared" si="40"/>
        <v>0</v>
      </c>
      <c r="E2598" s="11"/>
      <c r="F2598" s="9" t="s">
        <v>7</v>
      </c>
    </row>
    <row r="2599" s="1" customFormat="1" customHeight="1" spans="1:6">
      <c r="A2599" s="9" t="str">
        <f>"10100108717"</f>
        <v>10100108717</v>
      </c>
      <c r="B2599" s="10">
        <v>34.23</v>
      </c>
      <c r="C2599" s="9"/>
      <c r="D2599" s="9">
        <f t="shared" si="40"/>
        <v>34.23</v>
      </c>
      <c r="E2599" s="11"/>
      <c r="F2599" s="9"/>
    </row>
    <row r="2600" s="1" customFormat="1" customHeight="1" spans="1:6">
      <c r="A2600" s="9" t="str">
        <f>"10330108718"</f>
        <v>10330108718</v>
      </c>
      <c r="B2600" s="10">
        <v>39.65</v>
      </c>
      <c r="C2600" s="9"/>
      <c r="D2600" s="9">
        <f t="shared" si="40"/>
        <v>39.65</v>
      </c>
      <c r="E2600" s="11"/>
      <c r="F2600" s="9"/>
    </row>
    <row r="2601" s="1" customFormat="1" customHeight="1" spans="1:6">
      <c r="A2601" s="9" t="str">
        <f>"10410108719"</f>
        <v>10410108719</v>
      </c>
      <c r="B2601" s="10">
        <v>42.33</v>
      </c>
      <c r="C2601" s="9">
        <v>10</v>
      </c>
      <c r="D2601" s="9">
        <f t="shared" si="40"/>
        <v>52.33</v>
      </c>
      <c r="E2601" s="12" t="s">
        <v>8</v>
      </c>
      <c r="F2601" s="9"/>
    </row>
    <row r="2602" s="1" customFormat="1" customHeight="1" spans="1:6">
      <c r="A2602" s="9" t="str">
        <f>"10490108720"</f>
        <v>10490108720</v>
      </c>
      <c r="B2602" s="10">
        <v>0</v>
      </c>
      <c r="C2602" s="9"/>
      <c r="D2602" s="9">
        <f t="shared" si="40"/>
        <v>0</v>
      </c>
      <c r="E2602" s="11"/>
      <c r="F2602" s="9" t="s">
        <v>7</v>
      </c>
    </row>
    <row r="2603" s="1" customFormat="1" customHeight="1" spans="1:6">
      <c r="A2603" s="9" t="str">
        <f>"10240108721"</f>
        <v>10240108721</v>
      </c>
      <c r="B2603" s="10">
        <v>35.71</v>
      </c>
      <c r="C2603" s="9"/>
      <c r="D2603" s="9">
        <f t="shared" si="40"/>
        <v>35.71</v>
      </c>
      <c r="E2603" s="11"/>
      <c r="F2603" s="9"/>
    </row>
    <row r="2604" s="1" customFormat="1" customHeight="1" spans="1:6">
      <c r="A2604" s="9" t="str">
        <f>"10420108722"</f>
        <v>10420108722</v>
      </c>
      <c r="B2604" s="10">
        <v>38.35</v>
      </c>
      <c r="C2604" s="9"/>
      <c r="D2604" s="9">
        <f t="shared" si="40"/>
        <v>38.35</v>
      </c>
      <c r="E2604" s="11"/>
      <c r="F2604" s="9"/>
    </row>
    <row r="2605" s="1" customFormat="1" customHeight="1" spans="1:6">
      <c r="A2605" s="9" t="str">
        <f>"10210108723"</f>
        <v>10210108723</v>
      </c>
      <c r="B2605" s="10">
        <v>43.63</v>
      </c>
      <c r="C2605" s="9"/>
      <c r="D2605" s="9">
        <f t="shared" si="40"/>
        <v>43.63</v>
      </c>
      <c r="E2605" s="11"/>
      <c r="F2605" s="9"/>
    </row>
    <row r="2606" s="1" customFormat="1" customHeight="1" spans="1:6">
      <c r="A2606" s="9" t="str">
        <f>"10270108724"</f>
        <v>10270108724</v>
      </c>
      <c r="B2606" s="10">
        <v>45.82</v>
      </c>
      <c r="C2606" s="9"/>
      <c r="D2606" s="9">
        <f t="shared" si="40"/>
        <v>45.82</v>
      </c>
      <c r="E2606" s="11"/>
      <c r="F2606" s="9"/>
    </row>
    <row r="2607" s="1" customFormat="1" customHeight="1" spans="1:6">
      <c r="A2607" s="9" t="str">
        <f>"10530108725"</f>
        <v>10530108725</v>
      </c>
      <c r="B2607" s="10">
        <v>0</v>
      </c>
      <c r="C2607" s="9"/>
      <c r="D2607" s="9">
        <f t="shared" si="40"/>
        <v>0</v>
      </c>
      <c r="E2607" s="11"/>
      <c r="F2607" s="9" t="s">
        <v>7</v>
      </c>
    </row>
    <row r="2608" s="1" customFormat="1" customHeight="1" spans="1:6">
      <c r="A2608" s="9" t="str">
        <f>"10360108726"</f>
        <v>10360108726</v>
      </c>
      <c r="B2608" s="10">
        <v>43.08</v>
      </c>
      <c r="C2608" s="9"/>
      <c r="D2608" s="9">
        <f t="shared" si="40"/>
        <v>43.08</v>
      </c>
      <c r="E2608" s="11"/>
      <c r="F2608" s="9"/>
    </row>
    <row r="2609" s="1" customFormat="1" customHeight="1" spans="1:6">
      <c r="A2609" s="9" t="str">
        <f>"10260108727"</f>
        <v>10260108727</v>
      </c>
      <c r="B2609" s="10">
        <v>42.31</v>
      </c>
      <c r="C2609" s="9"/>
      <c r="D2609" s="9">
        <f t="shared" si="40"/>
        <v>42.31</v>
      </c>
      <c r="E2609" s="11"/>
      <c r="F2609" s="9"/>
    </row>
    <row r="2610" s="1" customFormat="1" customHeight="1" spans="1:6">
      <c r="A2610" s="9" t="str">
        <f>"10190108728"</f>
        <v>10190108728</v>
      </c>
      <c r="B2610" s="10">
        <v>0</v>
      </c>
      <c r="C2610" s="9"/>
      <c r="D2610" s="9">
        <f t="shared" si="40"/>
        <v>0</v>
      </c>
      <c r="E2610" s="11"/>
      <c r="F2610" s="9" t="s">
        <v>7</v>
      </c>
    </row>
    <row r="2611" s="1" customFormat="1" customHeight="1" spans="1:6">
      <c r="A2611" s="9" t="str">
        <f>"10360108729"</f>
        <v>10360108729</v>
      </c>
      <c r="B2611" s="10">
        <v>45.13</v>
      </c>
      <c r="C2611" s="9"/>
      <c r="D2611" s="9">
        <f t="shared" si="40"/>
        <v>45.13</v>
      </c>
      <c r="E2611" s="11"/>
      <c r="F2611" s="9"/>
    </row>
    <row r="2612" s="1" customFormat="1" customHeight="1" spans="1:6">
      <c r="A2612" s="9" t="str">
        <f>"10210108730"</f>
        <v>10210108730</v>
      </c>
      <c r="B2612" s="10">
        <v>40.78</v>
      </c>
      <c r="C2612" s="9"/>
      <c r="D2612" s="9">
        <f t="shared" si="40"/>
        <v>40.78</v>
      </c>
      <c r="E2612" s="11"/>
      <c r="F2612" s="9"/>
    </row>
    <row r="2613" s="1" customFormat="1" customHeight="1" spans="1:6">
      <c r="A2613" s="9" t="str">
        <f>"10360108801"</f>
        <v>10360108801</v>
      </c>
      <c r="B2613" s="10">
        <v>54.86</v>
      </c>
      <c r="C2613" s="9"/>
      <c r="D2613" s="9">
        <f t="shared" si="40"/>
        <v>54.86</v>
      </c>
      <c r="E2613" s="11"/>
      <c r="F2613" s="9"/>
    </row>
    <row r="2614" s="1" customFormat="1" customHeight="1" spans="1:6">
      <c r="A2614" s="9" t="str">
        <f>"10330108802"</f>
        <v>10330108802</v>
      </c>
      <c r="B2614" s="10">
        <v>0</v>
      </c>
      <c r="C2614" s="9"/>
      <c r="D2614" s="9">
        <f t="shared" si="40"/>
        <v>0</v>
      </c>
      <c r="E2614" s="11"/>
      <c r="F2614" s="9" t="s">
        <v>7</v>
      </c>
    </row>
    <row r="2615" s="1" customFormat="1" customHeight="1" spans="1:6">
      <c r="A2615" s="9" t="str">
        <f>"10360108803"</f>
        <v>10360108803</v>
      </c>
      <c r="B2615" s="10">
        <v>0</v>
      </c>
      <c r="C2615" s="9"/>
      <c r="D2615" s="9">
        <f t="shared" si="40"/>
        <v>0</v>
      </c>
      <c r="E2615" s="11"/>
      <c r="F2615" s="9" t="s">
        <v>7</v>
      </c>
    </row>
    <row r="2616" s="1" customFormat="1" customHeight="1" spans="1:6">
      <c r="A2616" s="9" t="str">
        <f>"10350108804"</f>
        <v>10350108804</v>
      </c>
      <c r="B2616" s="10">
        <v>50.14</v>
      </c>
      <c r="C2616" s="9"/>
      <c r="D2616" s="9">
        <f t="shared" si="40"/>
        <v>50.14</v>
      </c>
      <c r="E2616" s="11"/>
      <c r="F2616" s="9"/>
    </row>
    <row r="2617" s="1" customFormat="1" customHeight="1" spans="1:6">
      <c r="A2617" s="9" t="str">
        <f>"10340108805"</f>
        <v>10340108805</v>
      </c>
      <c r="B2617" s="10">
        <v>32.58</v>
      </c>
      <c r="C2617" s="9"/>
      <c r="D2617" s="9">
        <f t="shared" si="40"/>
        <v>32.58</v>
      </c>
      <c r="E2617" s="11"/>
      <c r="F2617" s="9"/>
    </row>
    <row r="2618" s="1" customFormat="1" customHeight="1" spans="1:6">
      <c r="A2618" s="9" t="str">
        <f>"10090108806"</f>
        <v>10090108806</v>
      </c>
      <c r="B2618" s="10">
        <v>43.89</v>
      </c>
      <c r="C2618" s="9"/>
      <c r="D2618" s="9">
        <f t="shared" si="40"/>
        <v>43.89</v>
      </c>
      <c r="E2618" s="11"/>
      <c r="F2618" s="9"/>
    </row>
    <row r="2619" s="1" customFormat="1" customHeight="1" spans="1:6">
      <c r="A2619" s="9" t="str">
        <f>"10210108807"</f>
        <v>10210108807</v>
      </c>
      <c r="B2619" s="10">
        <v>0</v>
      </c>
      <c r="C2619" s="9"/>
      <c r="D2619" s="9">
        <f t="shared" si="40"/>
        <v>0</v>
      </c>
      <c r="E2619" s="11"/>
      <c r="F2619" s="9" t="s">
        <v>7</v>
      </c>
    </row>
    <row r="2620" s="1" customFormat="1" customHeight="1" spans="1:6">
      <c r="A2620" s="9" t="str">
        <f>"10350108808"</f>
        <v>10350108808</v>
      </c>
      <c r="B2620" s="10">
        <v>40.11</v>
      </c>
      <c r="C2620" s="9"/>
      <c r="D2620" s="9">
        <f t="shared" si="40"/>
        <v>40.11</v>
      </c>
      <c r="E2620" s="11"/>
      <c r="F2620" s="9"/>
    </row>
    <row r="2621" s="1" customFormat="1" customHeight="1" spans="1:6">
      <c r="A2621" s="9" t="str">
        <f>"10300108809"</f>
        <v>10300108809</v>
      </c>
      <c r="B2621" s="10">
        <v>39.05</v>
      </c>
      <c r="C2621" s="9"/>
      <c r="D2621" s="9">
        <f t="shared" si="40"/>
        <v>39.05</v>
      </c>
      <c r="E2621" s="11"/>
      <c r="F2621" s="9"/>
    </row>
    <row r="2622" s="1" customFormat="1" customHeight="1" spans="1:6">
      <c r="A2622" s="9" t="str">
        <f>"10360108810"</f>
        <v>10360108810</v>
      </c>
      <c r="B2622" s="10">
        <v>0</v>
      </c>
      <c r="C2622" s="9"/>
      <c r="D2622" s="9">
        <f t="shared" si="40"/>
        <v>0</v>
      </c>
      <c r="E2622" s="11"/>
      <c r="F2622" s="9" t="s">
        <v>7</v>
      </c>
    </row>
    <row r="2623" s="1" customFormat="1" customHeight="1" spans="1:6">
      <c r="A2623" s="9" t="str">
        <f>"10520108811"</f>
        <v>10520108811</v>
      </c>
      <c r="B2623" s="10">
        <v>62.03</v>
      </c>
      <c r="C2623" s="9"/>
      <c r="D2623" s="9">
        <f t="shared" si="40"/>
        <v>62.03</v>
      </c>
      <c r="E2623" s="11"/>
      <c r="F2623" s="9"/>
    </row>
    <row r="2624" s="1" customFormat="1" customHeight="1" spans="1:6">
      <c r="A2624" s="9" t="str">
        <f>"10360108812"</f>
        <v>10360108812</v>
      </c>
      <c r="B2624" s="10">
        <v>40.28</v>
      </c>
      <c r="C2624" s="9"/>
      <c r="D2624" s="9">
        <f t="shared" si="40"/>
        <v>40.28</v>
      </c>
      <c r="E2624" s="11"/>
      <c r="F2624" s="9"/>
    </row>
    <row r="2625" s="1" customFormat="1" customHeight="1" spans="1:6">
      <c r="A2625" s="9" t="str">
        <f>"10080108813"</f>
        <v>10080108813</v>
      </c>
      <c r="B2625" s="10">
        <v>40.56</v>
      </c>
      <c r="C2625" s="9"/>
      <c r="D2625" s="9">
        <f t="shared" si="40"/>
        <v>40.56</v>
      </c>
      <c r="E2625" s="11"/>
      <c r="F2625" s="9"/>
    </row>
    <row r="2626" s="1" customFormat="1" customHeight="1" spans="1:6">
      <c r="A2626" s="9" t="str">
        <f>"10360108814"</f>
        <v>10360108814</v>
      </c>
      <c r="B2626" s="10">
        <v>46.25</v>
      </c>
      <c r="C2626" s="9"/>
      <c r="D2626" s="9">
        <f t="shared" si="40"/>
        <v>46.25</v>
      </c>
      <c r="E2626" s="11"/>
      <c r="F2626" s="9"/>
    </row>
    <row r="2627" s="1" customFormat="1" customHeight="1" spans="1:6">
      <c r="A2627" s="9" t="str">
        <f>"10330108815"</f>
        <v>10330108815</v>
      </c>
      <c r="B2627" s="10">
        <v>46.42</v>
      </c>
      <c r="C2627" s="9"/>
      <c r="D2627" s="9">
        <f t="shared" ref="D2627:D2690" si="41">SUM(B2627:C2627)</f>
        <v>46.42</v>
      </c>
      <c r="E2627" s="11"/>
      <c r="F2627" s="9"/>
    </row>
    <row r="2628" s="1" customFormat="1" customHeight="1" spans="1:6">
      <c r="A2628" s="9" t="str">
        <f>"10100108816"</f>
        <v>10100108816</v>
      </c>
      <c r="B2628" s="10">
        <v>38.01</v>
      </c>
      <c r="C2628" s="9"/>
      <c r="D2628" s="9">
        <f t="shared" si="41"/>
        <v>38.01</v>
      </c>
      <c r="E2628" s="11"/>
      <c r="F2628" s="9"/>
    </row>
    <row r="2629" s="1" customFormat="1" customHeight="1" spans="1:6">
      <c r="A2629" s="9" t="str">
        <f>"10460108817"</f>
        <v>10460108817</v>
      </c>
      <c r="B2629" s="10">
        <v>42.47</v>
      </c>
      <c r="C2629" s="9"/>
      <c r="D2629" s="9">
        <f t="shared" si="41"/>
        <v>42.47</v>
      </c>
      <c r="E2629" s="11"/>
      <c r="F2629" s="9"/>
    </row>
    <row r="2630" s="1" customFormat="1" customHeight="1" spans="1:6">
      <c r="A2630" s="9" t="str">
        <f>"10330108818"</f>
        <v>10330108818</v>
      </c>
      <c r="B2630" s="10">
        <v>40.28</v>
      </c>
      <c r="C2630" s="9"/>
      <c r="D2630" s="9">
        <f t="shared" si="41"/>
        <v>40.28</v>
      </c>
      <c r="E2630" s="11"/>
      <c r="F2630" s="9"/>
    </row>
    <row r="2631" s="1" customFormat="1" customHeight="1" spans="1:6">
      <c r="A2631" s="9" t="str">
        <f>"10280108819"</f>
        <v>10280108819</v>
      </c>
      <c r="B2631" s="10">
        <v>38.11</v>
      </c>
      <c r="C2631" s="9"/>
      <c r="D2631" s="9">
        <f t="shared" si="41"/>
        <v>38.11</v>
      </c>
      <c r="E2631" s="11"/>
      <c r="F2631" s="9"/>
    </row>
    <row r="2632" s="1" customFormat="1" customHeight="1" spans="1:6">
      <c r="A2632" s="9" t="str">
        <f>"10440108820"</f>
        <v>10440108820</v>
      </c>
      <c r="B2632" s="10">
        <v>27.37</v>
      </c>
      <c r="C2632" s="9"/>
      <c r="D2632" s="9">
        <f t="shared" si="41"/>
        <v>27.37</v>
      </c>
      <c r="E2632" s="11"/>
      <c r="F2632" s="9"/>
    </row>
    <row r="2633" s="1" customFormat="1" customHeight="1" spans="1:6">
      <c r="A2633" s="9" t="str">
        <f>"10060108821"</f>
        <v>10060108821</v>
      </c>
      <c r="B2633" s="10">
        <v>45.67</v>
      </c>
      <c r="C2633" s="9"/>
      <c r="D2633" s="9">
        <f t="shared" si="41"/>
        <v>45.67</v>
      </c>
      <c r="E2633" s="11"/>
      <c r="F2633" s="9"/>
    </row>
    <row r="2634" s="1" customFormat="1" customHeight="1" spans="1:6">
      <c r="A2634" s="9" t="str">
        <f>"10080108822"</f>
        <v>10080108822</v>
      </c>
      <c r="B2634" s="10">
        <v>39.51</v>
      </c>
      <c r="C2634" s="9"/>
      <c r="D2634" s="9">
        <f t="shared" si="41"/>
        <v>39.51</v>
      </c>
      <c r="E2634" s="11"/>
      <c r="F2634" s="9"/>
    </row>
    <row r="2635" s="1" customFormat="1" customHeight="1" spans="1:6">
      <c r="A2635" s="9" t="str">
        <f>"10130108823"</f>
        <v>10130108823</v>
      </c>
      <c r="B2635" s="10">
        <v>39.35</v>
      </c>
      <c r="C2635" s="9">
        <v>10</v>
      </c>
      <c r="D2635" s="9">
        <f t="shared" si="41"/>
        <v>49.35</v>
      </c>
      <c r="E2635" s="12" t="s">
        <v>8</v>
      </c>
      <c r="F2635" s="9"/>
    </row>
    <row r="2636" s="1" customFormat="1" customHeight="1" spans="1:6">
      <c r="A2636" s="9" t="str">
        <f>"10130108824"</f>
        <v>10130108824</v>
      </c>
      <c r="B2636" s="10">
        <v>0</v>
      </c>
      <c r="C2636" s="9"/>
      <c r="D2636" s="9">
        <f t="shared" si="41"/>
        <v>0</v>
      </c>
      <c r="E2636" s="11"/>
      <c r="F2636" s="9" t="s">
        <v>7</v>
      </c>
    </row>
    <row r="2637" s="1" customFormat="1" customHeight="1" spans="1:6">
      <c r="A2637" s="9" t="str">
        <f>"10520108825"</f>
        <v>10520108825</v>
      </c>
      <c r="B2637" s="10">
        <v>43.6</v>
      </c>
      <c r="C2637" s="9"/>
      <c r="D2637" s="9">
        <f t="shared" si="41"/>
        <v>43.6</v>
      </c>
      <c r="E2637" s="11"/>
      <c r="F2637" s="9"/>
    </row>
    <row r="2638" s="1" customFormat="1" customHeight="1" spans="1:6">
      <c r="A2638" s="9" t="str">
        <f>"10290108826"</f>
        <v>10290108826</v>
      </c>
      <c r="B2638" s="10">
        <v>0</v>
      </c>
      <c r="C2638" s="9"/>
      <c r="D2638" s="9">
        <f t="shared" si="41"/>
        <v>0</v>
      </c>
      <c r="E2638" s="11"/>
      <c r="F2638" s="9" t="s">
        <v>7</v>
      </c>
    </row>
    <row r="2639" s="1" customFormat="1" customHeight="1" spans="1:6">
      <c r="A2639" s="9" t="str">
        <f>"10010108827"</f>
        <v>10010108827</v>
      </c>
      <c r="B2639" s="10">
        <v>48.97</v>
      </c>
      <c r="C2639" s="9"/>
      <c r="D2639" s="9">
        <f t="shared" si="41"/>
        <v>48.97</v>
      </c>
      <c r="E2639" s="11"/>
      <c r="F2639" s="9"/>
    </row>
    <row r="2640" s="1" customFormat="1" customHeight="1" spans="1:6">
      <c r="A2640" s="9" t="str">
        <f>"10430108828"</f>
        <v>10430108828</v>
      </c>
      <c r="B2640" s="10">
        <v>42.59</v>
      </c>
      <c r="C2640" s="9"/>
      <c r="D2640" s="9">
        <f t="shared" si="41"/>
        <v>42.59</v>
      </c>
      <c r="E2640" s="11"/>
      <c r="F2640" s="9"/>
    </row>
    <row r="2641" s="1" customFormat="1" customHeight="1" spans="1:6">
      <c r="A2641" s="9" t="str">
        <f>"10360108829"</f>
        <v>10360108829</v>
      </c>
      <c r="B2641" s="10">
        <v>0</v>
      </c>
      <c r="C2641" s="9"/>
      <c r="D2641" s="9">
        <f t="shared" si="41"/>
        <v>0</v>
      </c>
      <c r="E2641" s="11"/>
      <c r="F2641" s="9" t="s">
        <v>7</v>
      </c>
    </row>
    <row r="2642" s="1" customFormat="1" customHeight="1" spans="1:6">
      <c r="A2642" s="9" t="str">
        <f>"10360108830"</f>
        <v>10360108830</v>
      </c>
      <c r="B2642" s="10">
        <v>44.77</v>
      </c>
      <c r="C2642" s="9"/>
      <c r="D2642" s="9">
        <f t="shared" si="41"/>
        <v>44.77</v>
      </c>
      <c r="E2642" s="11"/>
      <c r="F2642" s="9"/>
    </row>
    <row r="2643" s="1" customFormat="1" customHeight="1" spans="1:6">
      <c r="A2643" s="9" t="str">
        <f>"10380108901"</f>
        <v>10380108901</v>
      </c>
      <c r="B2643" s="10">
        <v>0</v>
      </c>
      <c r="C2643" s="9"/>
      <c r="D2643" s="9">
        <f t="shared" si="41"/>
        <v>0</v>
      </c>
      <c r="E2643" s="11"/>
      <c r="F2643" s="9" t="s">
        <v>7</v>
      </c>
    </row>
    <row r="2644" s="1" customFormat="1" customHeight="1" spans="1:6">
      <c r="A2644" s="9" t="str">
        <f>"10420108902"</f>
        <v>10420108902</v>
      </c>
      <c r="B2644" s="10">
        <v>53.42</v>
      </c>
      <c r="C2644" s="9"/>
      <c r="D2644" s="9">
        <f t="shared" si="41"/>
        <v>53.42</v>
      </c>
      <c r="E2644" s="11"/>
      <c r="F2644" s="9"/>
    </row>
    <row r="2645" s="1" customFormat="1" customHeight="1" spans="1:6">
      <c r="A2645" s="9" t="str">
        <f>"10030108903"</f>
        <v>10030108903</v>
      </c>
      <c r="B2645" s="10">
        <v>49.81</v>
      </c>
      <c r="C2645" s="9"/>
      <c r="D2645" s="9">
        <f t="shared" si="41"/>
        <v>49.81</v>
      </c>
      <c r="E2645" s="11"/>
      <c r="F2645" s="9"/>
    </row>
    <row r="2646" s="1" customFormat="1" customHeight="1" spans="1:6">
      <c r="A2646" s="9" t="str">
        <f>"10320108904"</f>
        <v>10320108904</v>
      </c>
      <c r="B2646" s="10">
        <v>40.8</v>
      </c>
      <c r="C2646" s="9"/>
      <c r="D2646" s="9">
        <f t="shared" si="41"/>
        <v>40.8</v>
      </c>
      <c r="E2646" s="11"/>
      <c r="F2646" s="9"/>
    </row>
    <row r="2647" s="1" customFormat="1" customHeight="1" spans="1:6">
      <c r="A2647" s="9" t="str">
        <f>"20180108905"</f>
        <v>20180108905</v>
      </c>
      <c r="B2647" s="10">
        <v>0</v>
      </c>
      <c r="C2647" s="9"/>
      <c r="D2647" s="9">
        <f t="shared" si="41"/>
        <v>0</v>
      </c>
      <c r="E2647" s="11"/>
      <c r="F2647" s="9" t="s">
        <v>7</v>
      </c>
    </row>
    <row r="2648" s="1" customFormat="1" customHeight="1" spans="1:6">
      <c r="A2648" s="9" t="str">
        <f>"10350108906"</f>
        <v>10350108906</v>
      </c>
      <c r="B2648" s="10">
        <v>42.78</v>
      </c>
      <c r="C2648" s="9"/>
      <c r="D2648" s="9">
        <f t="shared" si="41"/>
        <v>42.78</v>
      </c>
      <c r="E2648" s="11"/>
      <c r="F2648" s="9"/>
    </row>
    <row r="2649" s="1" customFormat="1" customHeight="1" spans="1:6">
      <c r="A2649" s="9" t="str">
        <f>"10240108907"</f>
        <v>10240108907</v>
      </c>
      <c r="B2649" s="10">
        <v>32.77</v>
      </c>
      <c r="C2649" s="9"/>
      <c r="D2649" s="9">
        <f t="shared" si="41"/>
        <v>32.77</v>
      </c>
      <c r="E2649" s="11"/>
      <c r="F2649" s="9"/>
    </row>
    <row r="2650" s="1" customFormat="1" customHeight="1" spans="1:6">
      <c r="A2650" s="9" t="str">
        <f>"10360108908"</f>
        <v>10360108908</v>
      </c>
      <c r="B2650" s="10">
        <v>0</v>
      </c>
      <c r="C2650" s="9"/>
      <c r="D2650" s="9">
        <f t="shared" si="41"/>
        <v>0</v>
      </c>
      <c r="E2650" s="11"/>
      <c r="F2650" s="9" t="s">
        <v>7</v>
      </c>
    </row>
    <row r="2651" s="1" customFormat="1" customHeight="1" spans="1:6">
      <c r="A2651" s="9" t="str">
        <f>"20180108909"</f>
        <v>20180108909</v>
      </c>
      <c r="B2651" s="10">
        <v>42.99</v>
      </c>
      <c r="C2651" s="9"/>
      <c r="D2651" s="9">
        <f t="shared" si="41"/>
        <v>42.99</v>
      </c>
      <c r="E2651" s="11"/>
      <c r="F2651" s="9"/>
    </row>
    <row r="2652" s="1" customFormat="1" customHeight="1" spans="1:6">
      <c r="A2652" s="9" t="str">
        <f>"10500108910"</f>
        <v>10500108910</v>
      </c>
      <c r="B2652" s="10">
        <v>37.14</v>
      </c>
      <c r="C2652" s="9"/>
      <c r="D2652" s="9">
        <f t="shared" si="41"/>
        <v>37.14</v>
      </c>
      <c r="E2652" s="11"/>
      <c r="F2652" s="9"/>
    </row>
    <row r="2653" s="1" customFormat="1" customHeight="1" spans="1:6">
      <c r="A2653" s="9" t="str">
        <f>"10160108911"</f>
        <v>10160108911</v>
      </c>
      <c r="B2653" s="10">
        <v>35.22</v>
      </c>
      <c r="C2653" s="9"/>
      <c r="D2653" s="9">
        <f t="shared" si="41"/>
        <v>35.22</v>
      </c>
      <c r="E2653" s="11"/>
      <c r="F2653" s="9"/>
    </row>
    <row r="2654" s="1" customFormat="1" customHeight="1" spans="1:6">
      <c r="A2654" s="9" t="str">
        <f>"10300108912"</f>
        <v>10300108912</v>
      </c>
      <c r="B2654" s="10">
        <v>39.51</v>
      </c>
      <c r="C2654" s="9"/>
      <c r="D2654" s="9">
        <f t="shared" si="41"/>
        <v>39.51</v>
      </c>
      <c r="E2654" s="11"/>
      <c r="F2654" s="9"/>
    </row>
    <row r="2655" s="1" customFormat="1" customHeight="1" spans="1:6">
      <c r="A2655" s="9" t="str">
        <f>"10030108913"</f>
        <v>10030108913</v>
      </c>
      <c r="B2655" s="10">
        <v>44.03</v>
      </c>
      <c r="C2655" s="9"/>
      <c r="D2655" s="9">
        <f t="shared" si="41"/>
        <v>44.03</v>
      </c>
      <c r="E2655" s="11"/>
      <c r="F2655" s="9"/>
    </row>
    <row r="2656" s="1" customFormat="1" customHeight="1" spans="1:6">
      <c r="A2656" s="9" t="str">
        <f>"10330108914"</f>
        <v>10330108914</v>
      </c>
      <c r="B2656" s="10">
        <v>42</v>
      </c>
      <c r="C2656" s="9"/>
      <c r="D2656" s="9">
        <f t="shared" si="41"/>
        <v>42</v>
      </c>
      <c r="E2656" s="11"/>
      <c r="F2656" s="9"/>
    </row>
    <row r="2657" s="1" customFormat="1" customHeight="1" spans="1:6">
      <c r="A2657" s="9" t="str">
        <f>"10100108915"</f>
        <v>10100108915</v>
      </c>
      <c r="B2657" s="10">
        <v>39.09</v>
      </c>
      <c r="C2657" s="9"/>
      <c r="D2657" s="9">
        <f t="shared" si="41"/>
        <v>39.09</v>
      </c>
      <c r="E2657" s="11"/>
      <c r="F2657" s="9"/>
    </row>
    <row r="2658" s="1" customFormat="1" customHeight="1" spans="1:6">
      <c r="A2658" s="9" t="str">
        <f>"10360108916"</f>
        <v>10360108916</v>
      </c>
      <c r="B2658" s="10">
        <v>36.83</v>
      </c>
      <c r="C2658" s="9"/>
      <c r="D2658" s="9">
        <f t="shared" si="41"/>
        <v>36.83</v>
      </c>
      <c r="E2658" s="11"/>
      <c r="F2658" s="9"/>
    </row>
    <row r="2659" s="1" customFormat="1" customHeight="1" spans="1:6">
      <c r="A2659" s="9" t="str">
        <f>"10490108917"</f>
        <v>10490108917</v>
      </c>
      <c r="B2659" s="10">
        <v>0</v>
      </c>
      <c r="C2659" s="9"/>
      <c r="D2659" s="9">
        <f t="shared" si="41"/>
        <v>0</v>
      </c>
      <c r="E2659" s="11"/>
      <c r="F2659" s="9" t="s">
        <v>7</v>
      </c>
    </row>
    <row r="2660" s="1" customFormat="1" customHeight="1" spans="1:6">
      <c r="A2660" s="9" t="str">
        <f>"10360108918"</f>
        <v>10360108918</v>
      </c>
      <c r="B2660" s="10">
        <v>38.66</v>
      </c>
      <c r="C2660" s="9"/>
      <c r="D2660" s="9">
        <f t="shared" si="41"/>
        <v>38.66</v>
      </c>
      <c r="E2660" s="11"/>
      <c r="F2660" s="9"/>
    </row>
    <row r="2661" s="1" customFormat="1" customHeight="1" spans="1:6">
      <c r="A2661" s="9" t="str">
        <f>"10140108919"</f>
        <v>10140108919</v>
      </c>
      <c r="B2661" s="10">
        <v>0</v>
      </c>
      <c r="C2661" s="9"/>
      <c r="D2661" s="9">
        <f t="shared" si="41"/>
        <v>0</v>
      </c>
      <c r="E2661" s="11"/>
      <c r="F2661" s="9" t="s">
        <v>7</v>
      </c>
    </row>
    <row r="2662" s="1" customFormat="1" customHeight="1" spans="1:6">
      <c r="A2662" s="9" t="str">
        <f>"10130108920"</f>
        <v>10130108920</v>
      </c>
      <c r="B2662" s="10">
        <v>0</v>
      </c>
      <c r="C2662" s="9"/>
      <c r="D2662" s="9">
        <f t="shared" si="41"/>
        <v>0</v>
      </c>
      <c r="E2662" s="11"/>
      <c r="F2662" s="9" t="s">
        <v>7</v>
      </c>
    </row>
    <row r="2663" s="1" customFormat="1" customHeight="1" spans="1:6">
      <c r="A2663" s="9" t="str">
        <f>"10090108921"</f>
        <v>10090108921</v>
      </c>
      <c r="B2663" s="10">
        <v>38.11</v>
      </c>
      <c r="C2663" s="9"/>
      <c r="D2663" s="9">
        <f t="shared" si="41"/>
        <v>38.11</v>
      </c>
      <c r="E2663" s="11"/>
      <c r="F2663" s="9"/>
    </row>
    <row r="2664" s="1" customFormat="1" customHeight="1" spans="1:6">
      <c r="A2664" s="9" t="str">
        <f>"10320108922"</f>
        <v>10320108922</v>
      </c>
      <c r="B2664" s="10">
        <v>47.86</v>
      </c>
      <c r="C2664" s="9"/>
      <c r="D2664" s="9">
        <f t="shared" si="41"/>
        <v>47.86</v>
      </c>
      <c r="E2664" s="11"/>
      <c r="F2664" s="9"/>
    </row>
    <row r="2665" s="1" customFormat="1" customHeight="1" spans="1:6">
      <c r="A2665" s="9" t="str">
        <f>"10420108923"</f>
        <v>10420108923</v>
      </c>
      <c r="B2665" s="10">
        <v>41.02</v>
      </c>
      <c r="C2665" s="9"/>
      <c r="D2665" s="9">
        <f t="shared" si="41"/>
        <v>41.02</v>
      </c>
      <c r="E2665" s="11"/>
      <c r="F2665" s="9"/>
    </row>
    <row r="2666" s="1" customFormat="1" customHeight="1" spans="1:6">
      <c r="A2666" s="9" t="str">
        <f>"10060108924"</f>
        <v>10060108924</v>
      </c>
      <c r="B2666" s="10">
        <v>70.45</v>
      </c>
      <c r="C2666" s="9"/>
      <c r="D2666" s="9">
        <f t="shared" si="41"/>
        <v>70.45</v>
      </c>
      <c r="E2666" s="11"/>
      <c r="F2666" s="9"/>
    </row>
    <row r="2667" s="1" customFormat="1" customHeight="1" spans="1:6">
      <c r="A2667" s="9" t="str">
        <f>"10360108925"</f>
        <v>10360108925</v>
      </c>
      <c r="B2667" s="10">
        <v>36.55</v>
      </c>
      <c r="C2667" s="9"/>
      <c r="D2667" s="9">
        <f t="shared" si="41"/>
        <v>36.55</v>
      </c>
      <c r="E2667" s="11"/>
      <c r="F2667" s="9"/>
    </row>
    <row r="2668" s="1" customFormat="1" customHeight="1" spans="1:6">
      <c r="A2668" s="9" t="str">
        <f>"10180108926"</f>
        <v>10180108926</v>
      </c>
      <c r="B2668" s="10">
        <v>39.05</v>
      </c>
      <c r="C2668" s="9"/>
      <c r="D2668" s="9">
        <f t="shared" si="41"/>
        <v>39.05</v>
      </c>
      <c r="E2668" s="11"/>
      <c r="F2668" s="9"/>
    </row>
    <row r="2669" s="1" customFormat="1" customHeight="1" spans="1:6">
      <c r="A2669" s="9" t="str">
        <f>"10130108927"</f>
        <v>10130108927</v>
      </c>
      <c r="B2669" s="10">
        <v>0</v>
      </c>
      <c r="C2669" s="9"/>
      <c r="D2669" s="9">
        <f t="shared" si="41"/>
        <v>0</v>
      </c>
      <c r="E2669" s="11"/>
      <c r="F2669" s="9" t="s">
        <v>7</v>
      </c>
    </row>
    <row r="2670" s="1" customFormat="1" customHeight="1" spans="1:6">
      <c r="A2670" s="9" t="str">
        <f>"10500108928"</f>
        <v>10500108928</v>
      </c>
      <c r="B2670" s="10">
        <v>38.46</v>
      </c>
      <c r="C2670" s="9"/>
      <c r="D2670" s="9">
        <f t="shared" si="41"/>
        <v>38.46</v>
      </c>
      <c r="E2670" s="11"/>
      <c r="F2670" s="9"/>
    </row>
    <row r="2671" s="1" customFormat="1" customHeight="1" spans="1:6">
      <c r="A2671" s="9" t="str">
        <f>"10090108929"</f>
        <v>10090108929</v>
      </c>
      <c r="B2671" s="10">
        <v>35.69</v>
      </c>
      <c r="C2671" s="9"/>
      <c r="D2671" s="9">
        <f t="shared" si="41"/>
        <v>35.69</v>
      </c>
      <c r="E2671" s="11"/>
      <c r="F2671" s="9"/>
    </row>
    <row r="2672" s="1" customFormat="1" customHeight="1" spans="1:6">
      <c r="A2672" s="9" t="str">
        <f>"10360108930"</f>
        <v>10360108930</v>
      </c>
      <c r="B2672" s="10">
        <v>44.17</v>
      </c>
      <c r="C2672" s="9"/>
      <c r="D2672" s="9">
        <f t="shared" si="41"/>
        <v>44.17</v>
      </c>
      <c r="E2672" s="11"/>
      <c r="F2672" s="9"/>
    </row>
    <row r="2673" s="1" customFormat="1" customHeight="1" spans="1:6">
      <c r="A2673" s="9" t="str">
        <f>"10180109001"</f>
        <v>10180109001</v>
      </c>
      <c r="B2673" s="10">
        <v>0</v>
      </c>
      <c r="C2673" s="9"/>
      <c r="D2673" s="9">
        <f t="shared" si="41"/>
        <v>0</v>
      </c>
      <c r="E2673" s="11"/>
      <c r="F2673" s="9" t="s">
        <v>7</v>
      </c>
    </row>
    <row r="2674" s="1" customFormat="1" customHeight="1" spans="1:6">
      <c r="A2674" s="9" t="str">
        <f>"10490109002"</f>
        <v>10490109002</v>
      </c>
      <c r="B2674" s="10">
        <v>40.48</v>
      </c>
      <c r="C2674" s="9"/>
      <c r="D2674" s="9">
        <f t="shared" si="41"/>
        <v>40.48</v>
      </c>
      <c r="E2674" s="11"/>
      <c r="F2674" s="9"/>
    </row>
    <row r="2675" s="1" customFormat="1" customHeight="1" spans="1:6">
      <c r="A2675" s="9" t="str">
        <f>"10530109003"</f>
        <v>10530109003</v>
      </c>
      <c r="B2675" s="10">
        <v>36.19</v>
      </c>
      <c r="C2675" s="9"/>
      <c r="D2675" s="9">
        <f t="shared" si="41"/>
        <v>36.19</v>
      </c>
      <c r="E2675" s="11"/>
      <c r="F2675" s="9"/>
    </row>
    <row r="2676" s="1" customFormat="1" customHeight="1" spans="1:6">
      <c r="A2676" s="9" t="str">
        <f>"10300109004"</f>
        <v>10300109004</v>
      </c>
      <c r="B2676" s="10">
        <v>43.58</v>
      </c>
      <c r="C2676" s="9"/>
      <c r="D2676" s="9">
        <f t="shared" si="41"/>
        <v>43.58</v>
      </c>
      <c r="E2676" s="11"/>
      <c r="F2676" s="9"/>
    </row>
    <row r="2677" s="1" customFormat="1" customHeight="1" spans="1:6">
      <c r="A2677" s="9" t="str">
        <f>"10090109005"</f>
        <v>10090109005</v>
      </c>
      <c r="B2677" s="10">
        <v>38.48</v>
      </c>
      <c r="C2677" s="9">
        <v>10</v>
      </c>
      <c r="D2677" s="9">
        <f t="shared" si="41"/>
        <v>48.48</v>
      </c>
      <c r="E2677" s="12" t="s">
        <v>8</v>
      </c>
      <c r="F2677" s="9"/>
    </row>
    <row r="2678" s="1" customFormat="1" customHeight="1" spans="1:6">
      <c r="A2678" s="9" t="str">
        <f>"10180109006"</f>
        <v>10180109006</v>
      </c>
      <c r="B2678" s="10">
        <v>0</v>
      </c>
      <c r="C2678" s="9"/>
      <c r="D2678" s="9">
        <f t="shared" si="41"/>
        <v>0</v>
      </c>
      <c r="E2678" s="11"/>
      <c r="F2678" s="9" t="s">
        <v>7</v>
      </c>
    </row>
    <row r="2679" s="1" customFormat="1" customHeight="1" spans="1:6">
      <c r="A2679" s="9" t="str">
        <f>"10180109007"</f>
        <v>10180109007</v>
      </c>
      <c r="B2679" s="10">
        <v>28.99</v>
      </c>
      <c r="C2679" s="9"/>
      <c r="D2679" s="9">
        <f t="shared" si="41"/>
        <v>28.99</v>
      </c>
      <c r="E2679" s="11"/>
      <c r="F2679" s="9"/>
    </row>
    <row r="2680" s="1" customFormat="1" customHeight="1" spans="1:6">
      <c r="A2680" s="9" t="str">
        <f>"10330109008"</f>
        <v>10330109008</v>
      </c>
      <c r="B2680" s="10">
        <v>0</v>
      </c>
      <c r="C2680" s="9"/>
      <c r="D2680" s="9">
        <f t="shared" si="41"/>
        <v>0</v>
      </c>
      <c r="E2680" s="11"/>
      <c r="F2680" s="9" t="s">
        <v>7</v>
      </c>
    </row>
    <row r="2681" s="1" customFormat="1" customHeight="1" spans="1:6">
      <c r="A2681" s="9" t="str">
        <f>"10330109009"</f>
        <v>10330109009</v>
      </c>
      <c r="B2681" s="10">
        <v>40.14</v>
      </c>
      <c r="C2681" s="9"/>
      <c r="D2681" s="9">
        <f t="shared" si="41"/>
        <v>40.14</v>
      </c>
      <c r="E2681" s="11"/>
      <c r="F2681" s="9"/>
    </row>
    <row r="2682" s="1" customFormat="1" customHeight="1" spans="1:6">
      <c r="A2682" s="9" t="str">
        <f>"10330109010"</f>
        <v>10330109010</v>
      </c>
      <c r="B2682" s="10">
        <v>0</v>
      </c>
      <c r="C2682" s="9"/>
      <c r="D2682" s="9">
        <f t="shared" si="41"/>
        <v>0</v>
      </c>
      <c r="E2682" s="11"/>
      <c r="F2682" s="9" t="s">
        <v>7</v>
      </c>
    </row>
    <row r="2683" s="1" customFormat="1" customHeight="1" spans="1:6">
      <c r="A2683" s="9" t="str">
        <f>"10500109011"</f>
        <v>10500109011</v>
      </c>
      <c r="B2683" s="10">
        <v>0</v>
      </c>
      <c r="C2683" s="9"/>
      <c r="D2683" s="9">
        <f t="shared" si="41"/>
        <v>0</v>
      </c>
      <c r="E2683" s="11"/>
      <c r="F2683" s="9" t="s">
        <v>7</v>
      </c>
    </row>
    <row r="2684" s="1" customFormat="1" customHeight="1" spans="1:6">
      <c r="A2684" s="9" t="str">
        <f>"10210109012"</f>
        <v>10210109012</v>
      </c>
      <c r="B2684" s="10">
        <v>0</v>
      </c>
      <c r="C2684" s="9"/>
      <c r="D2684" s="9">
        <f t="shared" si="41"/>
        <v>0</v>
      </c>
      <c r="E2684" s="11"/>
      <c r="F2684" s="9" t="s">
        <v>7</v>
      </c>
    </row>
    <row r="2685" s="1" customFormat="1" customHeight="1" spans="1:6">
      <c r="A2685" s="9" t="str">
        <f>"10410109013"</f>
        <v>10410109013</v>
      </c>
      <c r="B2685" s="10">
        <v>41.11</v>
      </c>
      <c r="C2685" s="9"/>
      <c r="D2685" s="9">
        <f t="shared" si="41"/>
        <v>41.11</v>
      </c>
      <c r="E2685" s="11"/>
      <c r="F2685" s="9"/>
    </row>
    <row r="2686" s="1" customFormat="1" customHeight="1" spans="1:6">
      <c r="A2686" s="9" t="str">
        <f>"10270109014"</f>
        <v>10270109014</v>
      </c>
      <c r="B2686" s="10">
        <v>36.49</v>
      </c>
      <c r="C2686" s="9"/>
      <c r="D2686" s="9">
        <f t="shared" si="41"/>
        <v>36.49</v>
      </c>
      <c r="E2686" s="11"/>
      <c r="F2686" s="9"/>
    </row>
    <row r="2687" s="1" customFormat="1" customHeight="1" spans="1:6">
      <c r="A2687" s="9" t="str">
        <f>"10020109015"</f>
        <v>10020109015</v>
      </c>
      <c r="B2687" s="10">
        <v>0</v>
      </c>
      <c r="C2687" s="9"/>
      <c r="D2687" s="9">
        <f t="shared" si="41"/>
        <v>0</v>
      </c>
      <c r="E2687" s="11"/>
      <c r="F2687" s="9" t="s">
        <v>7</v>
      </c>
    </row>
    <row r="2688" s="1" customFormat="1" customHeight="1" spans="1:6">
      <c r="A2688" s="9" t="str">
        <f>"10110109016"</f>
        <v>10110109016</v>
      </c>
      <c r="B2688" s="10">
        <v>0</v>
      </c>
      <c r="C2688" s="9"/>
      <c r="D2688" s="9">
        <f t="shared" si="41"/>
        <v>0</v>
      </c>
      <c r="E2688" s="11"/>
      <c r="F2688" s="9" t="s">
        <v>7</v>
      </c>
    </row>
    <row r="2689" s="1" customFormat="1" customHeight="1" spans="1:6">
      <c r="A2689" s="9" t="str">
        <f>"10130109017"</f>
        <v>10130109017</v>
      </c>
      <c r="B2689" s="10">
        <v>37.66</v>
      </c>
      <c r="C2689" s="9"/>
      <c r="D2689" s="9">
        <f t="shared" si="41"/>
        <v>37.66</v>
      </c>
      <c r="E2689" s="11"/>
      <c r="F2689" s="9"/>
    </row>
    <row r="2690" s="1" customFormat="1" customHeight="1" spans="1:6">
      <c r="A2690" s="9" t="str">
        <f>"10380109018"</f>
        <v>10380109018</v>
      </c>
      <c r="B2690" s="10">
        <v>0</v>
      </c>
      <c r="C2690" s="9"/>
      <c r="D2690" s="9">
        <f t="shared" si="41"/>
        <v>0</v>
      </c>
      <c r="E2690" s="11"/>
      <c r="F2690" s="9" t="s">
        <v>7</v>
      </c>
    </row>
    <row r="2691" s="1" customFormat="1" customHeight="1" spans="1:6">
      <c r="A2691" s="9" t="str">
        <f>"10510109019"</f>
        <v>10510109019</v>
      </c>
      <c r="B2691" s="10">
        <v>45.6</v>
      </c>
      <c r="C2691" s="9"/>
      <c r="D2691" s="9">
        <f t="shared" ref="D2691:D2754" si="42">SUM(B2691:C2691)</f>
        <v>45.6</v>
      </c>
      <c r="E2691" s="11"/>
      <c r="F2691" s="9"/>
    </row>
    <row r="2692" s="1" customFormat="1" customHeight="1" spans="1:6">
      <c r="A2692" s="9" t="str">
        <f>"10530109020"</f>
        <v>10530109020</v>
      </c>
      <c r="B2692" s="10">
        <v>39.79</v>
      </c>
      <c r="C2692" s="9"/>
      <c r="D2692" s="9">
        <f t="shared" si="42"/>
        <v>39.79</v>
      </c>
      <c r="E2692" s="11"/>
      <c r="F2692" s="9"/>
    </row>
    <row r="2693" s="1" customFormat="1" customHeight="1" spans="1:6">
      <c r="A2693" s="9" t="str">
        <f>"10360109021"</f>
        <v>10360109021</v>
      </c>
      <c r="B2693" s="10">
        <v>0</v>
      </c>
      <c r="C2693" s="9"/>
      <c r="D2693" s="9">
        <f t="shared" si="42"/>
        <v>0</v>
      </c>
      <c r="E2693" s="11"/>
      <c r="F2693" s="9" t="s">
        <v>7</v>
      </c>
    </row>
    <row r="2694" s="1" customFormat="1" customHeight="1" spans="1:6">
      <c r="A2694" s="9" t="str">
        <f>"10110109022"</f>
        <v>10110109022</v>
      </c>
      <c r="B2694" s="10">
        <v>40.61</v>
      </c>
      <c r="C2694" s="9"/>
      <c r="D2694" s="9">
        <f t="shared" si="42"/>
        <v>40.61</v>
      </c>
      <c r="E2694" s="11"/>
      <c r="F2694" s="9"/>
    </row>
    <row r="2695" s="1" customFormat="1" customHeight="1" spans="1:6">
      <c r="A2695" s="9" t="str">
        <f>"10320109023"</f>
        <v>10320109023</v>
      </c>
      <c r="B2695" s="10">
        <v>42.51</v>
      </c>
      <c r="C2695" s="9">
        <v>10</v>
      </c>
      <c r="D2695" s="9">
        <f t="shared" si="42"/>
        <v>52.51</v>
      </c>
      <c r="E2695" s="12" t="s">
        <v>8</v>
      </c>
      <c r="F2695" s="9"/>
    </row>
    <row r="2696" s="1" customFormat="1" customHeight="1" spans="1:6">
      <c r="A2696" s="9" t="str">
        <f>"10230109024"</f>
        <v>10230109024</v>
      </c>
      <c r="B2696" s="10">
        <v>43.14</v>
      </c>
      <c r="C2696" s="9"/>
      <c r="D2696" s="9">
        <f t="shared" si="42"/>
        <v>43.14</v>
      </c>
      <c r="E2696" s="11"/>
      <c r="F2696" s="9"/>
    </row>
    <row r="2697" s="1" customFormat="1" customHeight="1" spans="1:6">
      <c r="A2697" s="9" t="str">
        <f>"10490109025"</f>
        <v>10490109025</v>
      </c>
      <c r="B2697" s="10">
        <v>0</v>
      </c>
      <c r="C2697" s="9"/>
      <c r="D2697" s="9">
        <f t="shared" si="42"/>
        <v>0</v>
      </c>
      <c r="E2697" s="11"/>
      <c r="F2697" s="9" t="s">
        <v>7</v>
      </c>
    </row>
    <row r="2698" s="1" customFormat="1" customHeight="1" spans="1:6">
      <c r="A2698" s="9" t="str">
        <f>"10530109026"</f>
        <v>10530109026</v>
      </c>
      <c r="B2698" s="10">
        <v>0</v>
      </c>
      <c r="C2698" s="9"/>
      <c r="D2698" s="9">
        <f t="shared" si="42"/>
        <v>0</v>
      </c>
      <c r="E2698" s="11"/>
      <c r="F2698" s="9" t="s">
        <v>7</v>
      </c>
    </row>
    <row r="2699" s="1" customFormat="1" customHeight="1" spans="1:6">
      <c r="A2699" s="9" t="str">
        <f>"10080109027"</f>
        <v>10080109027</v>
      </c>
      <c r="B2699" s="10">
        <v>37.72</v>
      </c>
      <c r="C2699" s="9"/>
      <c r="D2699" s="9">
        <f t="shared" si="42"/>
        <v>37.72</v>
      </c>
      <c r="E2699" s="11"/>
      <c r="F2699" s="9"/>
    </row>
    <row r="2700" s="1" customFormat="1" customHeight="1" spans="1:6">
      <c r="A2700" s="9" t="str">
        <f>"10440109028"</f>
        <v>10440109028</v>
      </c>
      <c r="B2700" s="10">
        <v>42.3</v>
      </c>
      <c r="C2700" s="9"/>
      <c r="D2700" s="9">
        <f t="shared" si="42"/>
        <v>42.3</v>
      </c>
      <c r="E2700" s="11"/>
      <c r="F2700" s="9"/>
    </row>
    <row r="2701" s="1" customFormat="1" customHeight="1" spans="1:6">
      <c r="A2701" s="9" t="str">
        <f>"10290109029"</f>
        <v>10290109029</v>
      </c>
      <c r="B2701" s="10">
        <v>0</v>
      </c>
      <c r="C2701" s="9"/>
      <c r="D2701" s="9">
        <f t="shared" si="42"/>
        <v>0</v>
      </c>
      <c r="E2701" s="11"/>
      <c r="F2701" s="9" t="s">
        <v>7</v>
      </c>
    </row>
    <row r="2702" s="1" customFormat="1" customHeight="1" spans="1:6">
      <c r="A2702" s="9" t="str">
        <f>"10520109030"</f>
        <v>10520109030</v>
      </c>
      <c r="B2702" s="10">
        <v>36.71</v>
      </c>
      <c r="C2702" s="9"/>
      <c r="D2702" s="9">
        <f t="shared" si="42"/>
        <v>36.71</v>
      </c>
      <c r="E2702" s="11"/>
      <c r="F2702" s="9"/>
    </row>
    <row r="2703" s="1" customFormat="1" customHeight="1" spans="1:6">
      <c r="A2703" s="9" t="str">
        <f>"10300109101"</f>
        <v>10300109101</v>
      </c>
      <c r="B2703" s="10">
        <v>36.06</v>
      </c>
      <c r="C2703" s="9"/>
      <c r="D2703" s="9">
        <f t="shared" si="42"/>
        <v>36.06</v>
      </c>
      <c r="E2703" s="11"/>
      <c r="F2703" s="9"/>
    </row>
    <row r="2704" s="1" customFormat="1" customHeight="1" spans="1:6">
      <c r="A2704" s="9" t="str">
        <f>"10080109102"</f>
        <v>10080109102</v>
      </c>
      <c r="B2704" s="10">
        <v>43.99</v>
      </c>
      <c r="C2704" s="9"/>
      <c r="D2704" s="9">
        <f t="shared" si="42"/>
        <v>43.99</v>
      </c>
      <c r="E2704" s="11"/>
      <c r="F2704" s="9"/>
    </row>
    <row r="2705" s="1" customFormat="1" customHeight="1" spans="1:6">
      <c r="A2705" s="9" t="str">
        <f>"10360109103"</f>
        <v>10360109103</v>
      </c>
      <c r="B2705" s="10">
        <v>0</v>
      </c>
      <c r="C2705" s="9"/>
      <c r="D2705" s="9">
        <f t="shared" si="42"/>
        <v>0</v>
      </c>
      <c r="E2705" s="11"/>
      <c r="F2705" s="9" t="s">
        <v>7</v>
      </c>
    </row>
    <row r="2706" s="1" customFormat="1" customHeight="1" spans="1:6">
      <c r="A2706" s="9" t="str">
        <f>"10060109104"</f>
        <v>10060109104</v>
      </c>
      <c r="B2706" s="10">
        <v>0</v>
      </c>
      <c r="C2706" s="9"/>
      <c r="D2706" s="9">
        <f t="shared" si="42"/>
        <v>0</v>
      </c>
      <c r="E2706" s="11"/>
      <c r="F2706" s="9" t="s">
        <v>7</v>
      </c>
    </row>
    <row r="2707" s="1" customFormat="1" customHeight="1" spans="1:6">
      <c r="A2707" s="9" t="str">
        <f>"10360109105"</f>
        <v>10360109105</v>
      </c>
      <c r="B2707" s="10">
        <v>29.29</v>
      </c>
      <c r="C2707" s="9"/>
      <c r="D2707" s="9">
        <f t="shared" si="42"/>
        <v>29.29</v>
      </c>
      <c r="E2707" s="11"/>
      <c r="F2707" s="9"/>
    </row>
    <row r="2708" s="1" customFormat="1" customHeight="1" spans="1:6">
      <c r="A2708" s="9" t="str">
        <f>"10470109106"</f>
        <v>10470109106</v>
      </c>
      <c r="B2708" s="10">
        <v>0</v>
      </c>
      <c r="C2708" s="9"/>
      <c r="D2708" s="9">
        <f t="shared" si="42"/>
        <v>0</v>
      </c>
      <c r="E2708" s="11"/>
      <c r="F2708" s="9" t="s">
        <v>7</v>
      </c>
    </row>
    <row r="2709" s="1" customFormat="1" customHeight="1" spans="1:6">
      <c r="A2709" s="9" t="str">
        <f>"10360109107"</f>
        <v>10360109107</v>
      </c>
      <c r="B2709" s="10">
        <v>44.04</v>
      </c>
      <c r="C2709" s="9"/>
      <c r="D2709" s="9">
        <f t="shared" si="42"/>
        <v>44.04</v>
      </c>
      <c r="E2709" s="11"/>
      <c r="F2709" s="9"/>
    </row>
    <row r="2710" s="1" customFormat="1" customHeight="1" spans="1:6">
      <c r="A2710" s="9" t="str">
        <f>"10080109108"</f>
        <v>10080109108</v>
      </c>
      <c r="B2710" s="10">
        <v>40.52</v>
      </c>
      <c r="C2710" s="9"/>
      <c r="D2710" s="9">
        <f t="shared" si="42"/>
        <v>40.52</v>
      </c>
      <c r="E2710" s="11"/>
      <c r="F2710" s="9"/>
    </row>
    <row r="2711" s="1" customFormat="1" customHeight="1" spans="1:6">
      <c r="A2711" s="9" t="str">
        <f>"10380109109"</f>
        <v>10380109109</v>
      </c>
      <c r="B2711" s="10">
        <v>0</v>
      </c>
      <c r="C2711" s="9"/>
      <c r="D2711" s="9">
        <f t="shared" si="42"/>
        <v>0</v>
      </c>
      <c r="E2711" s="11"/>
      <c r="F2711" s="9" t="s">
        <v>7</v>
      </c>
    </row>
    <row r="2712" s="1" customFormat="1" customHeight="1" spans="1:6">
      <c r="A2712" s="9" t="str">
        <f>"10490109110"</f>
        <v>10490109110</v>
      </c>
      <c r="B2712" s="10">
        <v>42.44</v>
      </c>
      <c r="C2712" s="9"/>
      <c r="D2712" s="9">
        <f t="shared" si="42"/>
        <v>42.44</v>
      </c>
      <c r="E2712" s="11"/>
      <c r="F2712" s="9"/>
    </row>
    <row r="2713" s="1" customFormat="1" customHeight="1" spans="1:6">
      <c r="A2713" s="9" t="str">
        <f>"10070109111"</f>
        <v>10070109111</v>
      </c>
      <c r="B2713" s="10">
        <v>47.02</v>
      </c>
      <c r="C2713" s="9"/>
      <c r="D2713" s="9">
        <f t="shared" si="42"/>
        <v>47.02</v>
      </c>
      <c r="E2713" s="11"/>
      <c r="F2713" s="9"/>
    </row>
    <row r="2714" s="1" customFormat="1" customHeight="1" spans="1:6">
      <c r="A2714" s="9" t="str">
        <f>"10440109112"</f>
        <v>10440109112</v>
      </c>
      <c r="B2714" s="10">
        <v>40.86</v>
      </c>
      <c r="C2714" s="9"/>
      <c r="D2714" s="9">
        <f t="shared" si="42"/>
        <v>40.86</v>
      </c>
      <c r="E2714" s="11"/>
      <c r="F2714" s="9"/>
    </row>
    <row r="2715" s="1" customFormat="1" customHeight="1" spans="1:6">
      <c r="A2715" s="9" t="str">
        <f>"10530109113"</f>
        <v>10530109113</v>
      </c>
      <c r="B2715" s="10">
        <v>33.52</v>
      </c>
      <c r="C2715" s="9"/>
      <c r="D2715" s="9">
        <f t="shared" si="42"/>
        <v>33.52</v>
      </c>
      <c r="E2715" s="11"/>
      <c r="F2715" s="9"/>
    </row>
    <row r="2716" s="1" customFormat="1" customHeight="1" spans="1:6">
      <c r="A2716" s="9" t="str">
        <f>"10430109114"</f>
        <v>10430109114</v>
      </c>
      <c r="B2716" s="10">
        <v>40.55</v>
      </c>
      <c r="C2716" s="9"/>
      <c r="D2716" s="9">
        <f t="shared" si="42"/>
        <v>40.55</v>
      </c>
      <c r="E2716" s="11"/>
      <c r="F2716" s="9"/>
    </row>
    <row r="2717" s="1" customFormat="1" customHeight="1" spans="1:6">
      <c r="A2717" s="9" t="str">
        <f>"10120109115"</f>
        <v>10120109115</v>
      </c>
      <c r="B2717" s="10">
        <v>36.28</v>
      </c>
      <c r="C2717" s="9"/>
      <c r="D2717" s="9">
        <f t="shared" si="42"/>
        <v>36.28</v>
      </c>
      <c r="E2717" s="11"/>
      <c r="F2717" s="9"/>
    </row>
    <row r="2718" s="1" customFormat="1" customHeight="1" spans="1:6">
      <c r="A2718" s="9" t="str">
        <f>"10360109116"</f>
        <v>10360109116</v>
      </c>
      <c r="B2718" s="10">
        <v>45.52</v>
      </c>
      <c r="C2718" s="9"/>
      <c r="D2718" s="9">
        <f t="shared" si="42"/>
        <v>45.52</v>
      </c>
      <c r="E2718" s="11"/>
      <c r="F2718" s="9"/>
    </row>
    <row r="2719" s="1" customFormat="1" customHeight="1" spans="1:6">
      <c r="A2719" s="9" t="str">
        <f>"10530109117"</f>
        <v>10530109117</v>
      </c>
      <c r="B2719" s="10">
        <v>41.18</v>
      </c>
      <c r="C2719" s="9"/>
      <c r="D2719" s="9">
        <f t="shared" si="42"/>
        <v>41.18</v>
      </c>
      <c r="E2719" s="11"/>
      <c r="F2719" s="9"/>
    </row>
    <row r="2720" s="1" customFormat="1" customHeight="1" spans="1:6">
      <c r="A2720" s="9" t="str">
        <f>"10440109118"</f>
        <v>10440109118</v>
      </c>
      <c r="B2720" s="10">
        <v>0</v>
      </c>
      <c r="C2720" s="9"/>
      <c r="D2720" s="9">
        <f t="shared" si="42"/>
        <v>0</v>
      </c>
      <c r="E2720" s="11"/>
      <c r="F2720" s="9" t="s">
        <v>7</v>
      </c>
    </row>
    <row r="2721" s="1" customFormat="1" customHeight="1" spans="1:6">
      <c r="A2721" s="9" t="str">
        <f>"10060109119"</f>
        <v>10060109119</v>
      </c>
      <c r="B2721" s="10">
        <v>42.27</v>
      </c>
      <c r="C2721" s="9"/>
      <c r="D2721" s="9">
        <f t="shared" si="42"/>
        <v>42.27</v>
      </c>
      <c r="E2721" s="11"/>
      <c r="F2721" s="9"/>
    </row>
    <row r="2722" s="1" customFormat="1" customHeight="1" spans="1:6">
      <c r="A2722" s="9" t="str">
        <f>"10300109120"</f>
        <v>10300109120</v>
      </c>
      <c r="B2722" s="10">
        <v>0</v>
      </c>
      <c r="C2722" s="9"/>
      <c r="D2722" s="9">
        <f t="shared" si="42"/>
        <v>0</v>
      </c>
      <c r="E2722" s="11"/>
      <c r="F2722" s="9" t="s">
        <v>7</v>
      </c>
    </row>
    <row r="2723" s="1" customFormat="1" customHeight="1" spans="1:6">
      <c r="A2723" s="9" t="str">
        <f>"10060109121"</f>
        <v>10060109121</v>
      </c>
      <c r="B2723" s="10">
        <v>41.97</v>
      </c>
      <c r="C2723" s="9"/>
      <c r="D2723" s="9">
        <f t="shared" si="42"/>
        <v>41.97</v>
      </c>
      <c r="E2723" s="11"/>
      <c r="F2723" s="9"/>
    </row>
    <row r="2724" s="1" customFormat="1" customHeight="1" spans="1:6">
      <c r="A2724" s="9" t="str">
        <f>"10410109122"</f>
        <v>10410109122</v>
      </c>
      <c r="B2724" s="10">
        <v>0</v>
      </c>
      <c r="C2724" s="9"/>
      <c r="D2724" s="9">
        <f t="shared" si="42"/>
        <v>0</v>
      </c>
      <c r="E2724" s="11"/>
      <c r="F2724" s="9" t="s">
        <v>7</v>
      </c>
    </row>
    <row r="2725" s="1" customFormat="1" customHeight="1" spans="1:6">
      <c r="A2725" s="9" t="str">
        <f>"10120109123"</f>
        <v>10120109123</v>
      </c>
      <c r="B2725" s="10">
        <v>45.02</v>
      </c>
      <c r="C2725" s="9"/>
      <c r="D2725" s="9">
        <f t="shared" si="42"/>
        <v>45.02</v>
      </c>
      <c r="E2725" s="11"/>
      <c r="F2725" s="9"/>
    </row>
    <row r="2726" s="1" customFormat="1" customHeight="1" spans="1:6">
      <c r="A2726" s="9" t="str">
        <f>"10200109124"</f>
        <v>10200109124</v>
      </c>
      <c r="B2726" s="10">
        <v>33.52</v>
      </c>
      <c r="C2726" s="9">
        <v>10</v>
      </c>
      <c r="D2726" s="9">
        <f t="shared" si="42"/>
        <v>43.52</v>
      </c>
      <c r="E2726" s="12" t="s">
        <v>8</v>
      </c>
      <c r="F2726" s="9"/>
    </row>
    <row r="2727" s="1" customFormat="1" customHeight="1" spans="1:6">
      <c r="A2727" s="9" t="str">
        <f>"10530109125"</f>
        <v>10530109125</v>
      </c>
      <c r="B2727" s="10">
        <v>0</v>
      </c>
      <c r="C2727" s="9"/>
      <c r="D2727" s="9">
        <f t="shared" si="42"/>
        <v>0</v>
      </c>
      <c r="E2727" s="11"/>
      <c r="F2727" s="9" t="s">
        <v>7</v>
      </c>
    </row>
    <row r="2728" s="1" customFormat="1" customHeight="1" spans="1:6">
      <c r="A2728" s="9" t="str">
        <f>"10360109126"</f>
        <v>10360109126</v>
      </c>
      <c r="B2728" s="10">
        <v>0</v>
      </c>
      <c r="C2728" s="9"/>
      <c r="D2728" s="9">
        <f t="shared" si="42"/>
        <v>0</v>
      </c>
      <c r="E2728" s="11"/>
      <c r="F2728" s="9" t="s">
        <v>7</v>
      </c>
    </row>
    <row r="2729" s="1" customFormat="1" customHeight="1" spans="1:6">
      <c r="A2729" s="9" t="str">
        <f>"10360109127"</f>
        <v>10360109127</v>
      </c>
      <c r="B2729" s="10">
        <v>0</v>
      </c>
      <c r="C2729" s="9"/>
      <c r="D2729" s="9">
        <f t="shared" si="42"/>
        <v>0</v>
      </c>
      <c r="E2729" s="11"/>
      <c r="F2729" s="9" t="s">
        <v>7</v>
      </c>
    </row>
    <row r="2730" s="1" customFormat="1" customHeight="1" spans="1:6">
      <c r="A2730" s="9" t="str">
        <f>"10190109128"</f>
        <v>10190109128</v>
      </c>
      <c r="B2730" s="10">
        <v>0</v>
      </c>
      <c r="C2730" s="9"/>
      <c r="D2730" s="9">
        <f t="shared" si="42"/>
        <v>0</v>
      </c>
      <c r="E2730" s="11"/>
      <c r="F2730" s="9" t="s">
        <v>7</v>
      </c>
    </row>
    <row r="2731" s="1" customFormat="1" customHeight="1" spans="1:6">
      <c r="A2731" s="9" t="str">
        <f>"10360109129"</f>
        <v>10360109129</v>
      </c>
      <c r="B2731" s="10">
        <v>30.45</v>
      </c>
      <c r="C2731" s="9"/>
      <c r="D2731" s="9">
        <f t="shared" si="42"/>
        <v>30.45</v>
      </c>
      <c r="E2731" s="11"/>
      <c r="F2731" s="9"/>
    </row>
    <row r="2732" s="1" customFormat="1" customHeight="1" spans="1:6">
      <c r="A2732" s="9" t="str">
        <f>"10170109130"</f>
        <v>10170109130</v>
      </c>
      <c r="B2732" s="10">
        <v>40.1</v>
      </c>
      <c r="C2732" s="9"/>
      <c r="D2732" s="9">
        <f t="shared" si="42"/>
        <v>40.1</v>
      </c>
      <c r="E2732" s="11"/>
      <c r="F2732" s="9"/>
    </row>
    <row r="2733" s="1" customFormat="1" customHeight="1" spans="1:6">
      <c r="A2733" s="9" t="str">
        <f>"10110109201"</f>
        <v>10110109201</v>
      </c>
      <c r="B2733" s="10">
        <v>37.32</v>
      </c>
      <c r="C2733" s="9"/>
      <c r="D2733" s="9">
        <f t="shared" si="42"/>
        <v>37.32</v>
      </c>
      <c r="E2733" s="11"/>
      <c r="F2733" s="9"/>
    </row>
    <row r="2734" s="1" customFormat="1" customHeight="1" spans="1:6">
      <c r="A2734" s="9" t="str">
        <f>"10170109202"</f>
        <v>10170109202</v>
      </c>
      <c r="B2734" s="10">
        <v>0</v>
      </c>
      <c r="C2734" s="9"/>
      <c r="D2734" s="9">
        <f t="shared" si="42"/>
        <v>0</v>
      </c>
      <c r="E2734" s="11"/>
      <c r="F2734" s="9" t="s">
        <v>7</v>
      </c>
    </row>
    <row r="2735" s="1" customFormat="1" customHeight="1" spans="1:6">
      <c r="A2735" s="9" t="str">
        <f>"10530109203"</f>
        <v>10530109203</v>
      </c>
      <c r="B2735" s="10">
        <v>45.83</v>
      </c>
      <c r="C2735" s="9"/>
      <c r="D2735" s="9">
        <f t="shared" si="42"/>
        <v>45.83</v>
      </c>
      <c r="E2735" s="11"/>
      <c r="F2735" s="9"/>
    </row>
    <row r="2736" s="1" customFormat="1" customHeight="1" spans="1:6">
      <c r="A2736" s="9" t="str">
        <f>"10090109204"</f>
        <v>10090109204</v>
      </c>
      <c r="B2736" s="10">
        <v>40.53</v>
      </c>
      <c r="C2736" s="9"/>
      <c r="D2736" s="9">
        <f t="shared" si="42"/>
        <v>40.53</v>
      </c>
      <c r="E2736" s="11"/>
      <c r="F2736" s="9"/>
    </row>
    <row r="2737" s="1" customFormat="1" customHeight="1" spans="1:6">
      <c r="A2737" s="9" t="str">
        <f>"10380109205"</f>
        <v>10380109205</v>
      </c>
      <c r="B2737" s="10">
        <v>49.32</v>
      </c>
      <c r="C2737" s="9"/>
      <c r="D2737" s="9">
        <f t="shared" si="42"/>
        <v>49.32</v>
      </c>
      <c r="E2737" s="11"/>
      <c r="F2737" s="9"/>
    </row>
    <row r="2738" s="1" customFormat="1" customHeight="1" spans="1:6">
      <c r="A2738" s="9" t="str">
        <f>"10060109206"</f>
        <v>10060109206</v>
      </c>
      <c r="B2738" s="10">
        <v>0</v>
      </c>
      <c r="C2738" s="9"/>
      <c r="D2738" s="9">
        <f t="shared" si="42"/>
        <v>0</v>
      </c>
      <c r="E2738" s="11"/>
      <c r="F2738" s="9" t="s">
        <v>7</v>
      </c>
    </row>
    <row r="2739" s="1" customFormat="1" customHeight="1" spans="1:6">
      <c r="A2739" s="9" t="str">
        <f>"10180109207"</f>
        <v>10180109207</v>
      </c>
      <c r="B2739" s="10">
        <v>0</v>
      </c>
      <c r="C2739" s="9"/>
      <c r="D2739" s="9">
        <f t="shared" si="42"/>
        <v>0</v>
      </c>
      <c r="E2739" s="11"/>
      <c r="F2739" s="9" t="s">
        <v>7</v>
      </c>
    </row>
    <row r="2740" s="1" customFormat="1" customHeight="1" spans="1:6">
      <c r="A2740" s="9" t="str">
        <f>"10170109208"</f>
        <v>10170109208</v>
      </c>
      <c r="B2740" s="10">
        <v>40.83</v>
      </c>
      <c r="C2740" s="9"/>
      <c r="D2740" s="9">
        <f t="shared" si="42"/>
        <v>40.83</v>
      </c>
      <c r="E2740" s="11"/>
      <c r="F2740" s="9"/>
    </row>
    <row r="2741" s="1" customFormat="1" customHeight="1" spans="1:6">
      <c r="A2741" s="9" t="str">
        <f>"10360109209"</f>
        <v>10360109209</v>
      </c>
      <c r="B2741" s="10">
        <v>0</v>
      </c>
      <c r="C2741" s="9"/>
      <c r="D2741" s="9">
        <f t="shared" si="42"/>
        <v>0</v>
      </c>
      <c r="E2741" s="11"/>
      <c r="F2741" s="9" t="s">
        <v>7</v>
      </c>
    </row>
    <row r="2742" s="1" customFormat="1" customHeight="1" spans="1:6">
      <c r="A2742" s="9" t="str">
        <f>"10300109210"</f>
        <v>10300109210</v>
      </c>
      <c r="B2742" s="10">
        <v>33.47</v>
      </c>
      <c r="C2742" s="9"/>
      <c r="D2742" s="9">
        <f t="shared" si="42"/>
        <v>33.47</v>
      </c>
      <c r="E2742" s="11"/>
      <c r="F2742" s="9"/>
    </row>
    <row r="2743" s="1" customFormat="1" customHeight="1" spans="1:6">
      <c r="A2743" s="9" t="str">
        <f>"10360109211"</f>
        <v>10360109211</v>
      </c>
      <c r="B2743" s="10">
        <v>0</v>
      </c>
      <c r="C2743" s="9"/>
      <c r="D2743" s="9">
        <f t="shared" si="42"/>
        <v>0</v>
      </c>
      <c r="E2743" s="11"/>
      <c r="F2743" s="9" t="s">
        <v>7</v>
      </c>
    </row>
    <row r="2744" s="1" customFormat="1" customHeight="1" spans="1:6">
      <c r="A2744" s="9" t="str">
        <f>"10440109212"</f>
        <v>10440109212</v>
      </c>
      <c r="B2744" s="10">
        <v>31.84</v>
      </c>
      <c r="C2744" s="9"/>
      <c r="D2744" s="9">
        <f t="shared" si="42"/>
        <v>31.84</v>
      </c>
      <c r="E2744" s="11"/>
      <c r="F2744" s="9"/>
    </row>
    <row r="2745" s="1" customFormat="1" customHeight="1" spans="1:6">
      <c r="A2745" s="9" t="str">
        <f>"10530109213"</f>
        <v>10530109213</v>
      </c>
      <c r="B2745" s="10">
        <v>43</v>
      </c>
      <c r="C2745" s="9"/>
      <c r="D2745" s="9">
        <f t="shared" si="42"/>
        <v>43</v>
      </c>
      <c r="E2745" s="11"/>
      <c r="F2745" s="9"/>
    </row>
    <row r="2746" s="1" customFormat="1" customHeight="1" spans="1:6">
      <c r="A2746" s="9" t="str">
        <f>"10310109214"</f>
        <v>10310109214</v>
      </c>
      <c r="B2746" s="10">
        <v>46.38</v>
      </c>
      <c r="C2746" s="9"/>
      <c r="D2746" s="9">
        <f t="shared" si="42"/>
        <v>46.38</v>
      </c>
      <c r="E2746" s="11"/>
      <c r="F2746" s="9"/>
    </row>
    <row r="2747" s="1" customFormat="1" customHeight="1" spans="1:6">
      <c r="A2747" s="9" t="str">
        <f>"10080109215"</f>
        <v>10080109215</v>
      </c>
      <c r="B2747" s="10">
        <v>37.49</v>
      </c>
      <c r="C2747" s="9"/>
      <c r="D2747" s="9">
        <f t="shared" si="42"/>
        <v>37.49</v>
      </c>
      <c r="E2747" s="11"/>
      <c r="F2747" s="9"/>
    </row>
    <row r="2748" s="1" customFormat="1" customHeight="1" spans="1:6">
      <c r="A2748" s="9" t="str">
        <f>"10520109216"</f>
        <v>10520109216</v>
      </c>
      <c r="B2748" s="10">
        <v>0</v>
      </c>
      <c r="C2748" s="9"/>
      <c r="D2748" s="9">
        <f t="shared" si="42"/>
        <v>0</v>
      </c>
      <c r="E2748" s="11"/>
      <c r="F2748" s="9" t="s">
        <v>7</v>
      </c>
    </row>
    <row r="2749" s="1" customFormat="1" customHeight="1" spans="1:6">
      <c r="A2749" s="9" t="str">
        <f>"10300109217"</f>
        <v>10300109217</v>
      </c>
      <c r="B2749" s="10">
        <v>34.27</v>
      </c>
      <c r="C2749" s="9"/>
      <c r="D2749" s="9">
        <f t="shared" si="42"/>
        <v>34.27</v>
      </c>
      <c r="E2749" s="11"/>
      <c r="F2749" s="9"/>
    </row>
    <row r="2750" s="1" customFormat="1" customHeight="1" spans="1:6">
      <c r="A2750" s="9" t="str">
        <f>"10360109218"</f>
        <v>10360109218</v>
      </c>
      <c r="B2750" s="10">
        <v>29.85</v>
      </c>
      <c r="C2750" s="9"/>
      <c r="D2750" s="9">
        <f t="shared" si="42"/>
        <v>29.85</v>
      </c>
      <c r="E2750" s="11"/>
      <c r="F2750" s="9"/>
    </row>
    <row r="2751" s="1" customFormat="1" customHeight="1" spans="1:6">
      <c r="A2751" s="9" t="str">
        <f>"10100109219"</f>
        <v>10100109219</v>
      </c>
      <c r="B2751" s="10">
        <v>44.23</v>
      </c>
      <c r="C2751" s="9"/>
      <c r="D2751" s="9">
        <f t="shared" si="42"/>
        <v>44.23</v>
      </c>
      <c r="E2751" s="11"/>
      <c r="F2751" s="9"/>
    </row>
    <row r="2752" s="1" customFormat="1" customHeight="1" spans="1:6">
      <c r="A2752" s="9" t="str">
        <f>"10500109220"</f>
        <v>10500109220</v>
      </c>
      <c r="B2752" s="10">
        <v>34.02</v>
      </c>
      <c r="C2752" s="9"/>
      <c r="D2752" s="9">
        <f t="shared" si="42"/>
        <v>34.02</v>
      </c>
      <c r="E2752" s="11"/>
      <c r="F2752" s="9"/>
    </row>
    <row r="2753" s="1" customFormat="1" customHeight="1" spans="1:6">
      <c r="A2753" s="9" t="str">
        <f>"10410109221"</f>
        <v>10410109221</v>
      </c>
      <c r="B2753" s="10">
        <v>38.84</v>
      </c>
      <c r="C2753" s="9"/>
      <c r="D2753" s="9">
        <f t="shared" si="42"/>
        <v>38.84</v>
      </c>
      <c r="E2753" s="11"/>
      <c r="F2753" s="9"/>
    </row>
    <row r="2754" s="1" customFormat="1" customHeight="1" spans="1:6">
      <c r="A2754" s="9" t="str">
        <f>"10040109222"</f>
        <v>10040109222</v>
      </c>
      <c r="B2754" s="10">
        <v>38.07</v>
      </c>
      <c r="C2754" s="9"/>
      <c r="D2754" s="9">
        <f t="shared" si="42"/>
        <v>38.07</v>
      </c>
      <c r="E2754" s="11"/>
      <c r="F2754" s="9"/>
    </row>
    <row r="2755" s="1" customFormat="1" customHeight="1" spans="1:6">
      <c r="A2755" s="9" t="str">
        <f>"10300109223"</f>
        <v>10300109223</v>
      </c>
      <c r="B2755" s="10">
        <v>45.04</v>
      </c>
      <c r="C2755" s="9"/>
      <c r="D2755" s="9">
        <f t="shared" ref="D2755:D2818" si="43">SUM(B2755:C2755)</f>
        <v>45.04</v>
      </c>
      <c r="E2755" s="11"/>
      <c r="F2755" s="9"/>
    </row>
    <row r="2756" s="1" customFormat="1" customHeight="1" spans="1:6">
      <c r="A2756" s="9" t="str">
        <f>"10360109224"</f>
        <v>10360109224</v>
      </c>
      <c r="B2756" s="10">
        <v>36.94</v>
      </c>
      <c r="C2756" s="9"/>
      <c r="D2756" s="9">
        <f t="shared" si="43"/>
        <v>36.94</v>
      </c>
      <c r="E2756" s="11"/>
      <c r="F2756" s="9"/>
    </row>
    <row r="2757" s="1" customFormat="1" customHeight="1" spans="1:6">
      <c r="A2757" s="9" t="str">
        <f>"10060109225"</f>
        <v>10060109225</v>
      </c>
      <c r="B2757" s="10">
        <v>41.75</v>
      </c>
      <c r="C2757" s="9"/>
      <c r="D2757" s="9">
        <f t="shared" si="43"/>
        <v>41.75</v>
      </c>
      <c r="E2757" s="11"/>
      <c r="F2757" s="9"/>
    </row>
    <row r="2758" s="1" customFormat="1" customHeight="1" spans="1:6">
      <c r="A2758" s="9" t="str">
        <f>"10360109226"</f>
        <v>10360109226</v>
      </c>
      <c r="B2758" s="10">
        <v>0</v>
      </c>
      <c r="C2758" s="9"/>
      <c r="D2758" s="9">
        <f t="shared" si="43"/>
        <v>0</v>
      </c>
      <c r="E2758" s="11"/>
      <c r="F2758" s="9" t="s">
        <v>7</v>
      </c>
    </row>
    <row r="2759" s="1" customFormat="1" customHeight="1" spans="1:6">
      <c r="A2759" s="9" t="str">
        <f>"10210109227"</f>
        <v>10210109227</v>
      </c>
      <c r="B2759" s="10">
        <v>36.4</v>
      </c>
      <c r="C2759" s="9"/>
      <c r="D2759" s="9">
        <f t="shared" si="43"/>
        <v>36.4</v>
      </c>
      <c r="E2759" s="11"/>
      <c r="F2759" s="9"/>
    </row>
    <row r="2760" s="1" customFormat="1" customHeight="1" spans="1:6">
      <c r="A2760" s="9" t="str">
        <f>"10060109228"</f>
        <v>10060109228</v>
      </c>
      <c r="B2760" s="10">
        <v>35.5</v>
      </c>
      <c r="C2760" s="9"/>
      <c r="D2760" s="9">
        <f t="shared" si="43"/>
        <v>35.5</v>
      </c>
      <c r="E2760" s="11"/>
      <c r="F2760" s="9"/>
    </row>
    <row r="2761" s="1" customFormat="1" customHeight="1" spans="1:6">
      <c r="A2761" s="9" t="str">
        <f>"10130109229"</f>
        <v>10130109229</v>
      </c>
      <c r="B2761" s="10">
        <v>40.33</v>
      </c>
      <c r="C2761" s="9"/>
      <c r="D2761" s="9">
        <f t="shared" si="43"/>
        <v>40.33</v>
      </c>
      <c r="E2761" s="11"/>
      <c r="F2761" s="9"/>
    </row>
    <row r="2762" s="1" customFormat="1" customHeight="1" spans="1:6">
      <c r="A2762" s="9" t="str">
        <f>"10110109230"</f>
        <v>10110109230</v>
      </c>
      <c r="B2762" s="10">
        <v>50.45</v>
      </c>
      <c r="C2762" s="9"/>
      <c r="D2762" s="9">
        <f t="shared" si="43"/>
        <v>50.45</v>
      </c>
      <c r="E2762" s="11"/>
      <c r="F2762" s="9"/>
    </row>
    <row r="2763" s="1" customFormat="1" customHeight="1" spans="1:6">
      <c r="A2763" s="9" t="str">
        <f>"10360109301"</f>
        <v>10360109301</v>
      </c>
      <c r="B2763" s="10">
        <v>45.6</v>
      </c>
      <c r="C2763" s="9"/>
      <c r="D2763" s="9">
        <f t="shared" si="43"/>
        <v>45.6</v>
      </c>
      <c r="E2763" s="11"/>
      <c r="F2763" s="9"/>
    </row>
    <row r="2764" s="1" customFormat="1" customHeight="1" spans="1:6">
      <c r="A2764" s="9" t="str">
        <f>"10130109302"</f>
        <v>10130109302</v>
      </c>
      <c r="B2764" s="10">
        <v>46.57</v>
      </c>
      <c r="C2764" s="9"/>
      <c r="D2764" s="9">
        <f t="shared" si="43"/>
        <v>46.57</v>
      </c>
      <c r="E2764" s="11"/>
      <c r="F2764" s="9"/>
    </row>
    <row r="2765" s="1" customFormat="1" customHeight="1" spans="1:6">
      <c r="A2765" s="9" t="str">
        <f>"10060109303"</f>
        <v>10060109303</v>
      </c>
      <c r="B2765" s="10">
        <v>38.16</v>
      </c>
      <c r="C2765" s="9"/>
      <c r="D2765" s="9">
        <f t="shared" si="43"/>
        <v>38.16</v>
      </c>
      <c r="E2765" s="11"/>
      <c r="F2765" s="9"/>
    </row>
    <row r="2766" s="1" customFormat="1" customHeight="1" spans="1:6">
      <c r="A2766" s="9" t="str">
        <f>"10280109304"</f>
        <v>10280109304</v>
      </c>
      <c r="B2766" s="10">
        <v>35.83</v>
      </c>
      <c r="C2766" s="9"/>
      <c r="D2766" s="9">
        <f t="shared" si="43"/>
        <v>35.83</v>
      </c>
      <c r="E2766" s="11"/>
      <c r="F2766" s="9"/>
    </row>
    <row r="2767" s="1" customFormat="1" customHeight="1" spans="1:6">
      <c r="A2767" s="9" t="str">
        <f>"10060109305"</f>
        <v>10060109305</v>
      </c>
      <c r="B2767" s="10">
        <v>36.33</v>
      </c>
      <c r="C2767" s="9"/>
      <c r="D2767" s="9">
        <f t="shared" si="43"/>
        <v>36.33</v>
      </c>
      <c r="E2767" s="11"/>
      <c r="F2767" s="9"/>
    </row>
    <row r="2768" s="1" customFormat="1" customHeight="1" spans="1:6">
      <c r="A2768" s="9" t="str">
        <f>"10440109306"</f>
        <v>10440109306</v>
      </c>
      <c r="B2768" s="10">
        <v>47.53</v>
      </c>
      <c r="C2768" s="9"/>
      <c r="D2768" s="9">
        <f t="shared" si="43"/>
        <v>47.53</v>
      </c>
      <c r="E2768" s="11"/>
      <c r="F2768" s="9"/>
    </row>
    <row r="2769" s="1" customFormat="1" customHeight="1" spans="1:6">
      <c r="A2769" s="9" t="str">
        <f>"10080109307"</f>
        <v>10080109307</v>
      </c>
      <c r="B2769" s="10">
        <v>46.68</v>
      </c>
      <c r="C2769" s="9"/>
      <c r="D2769" s="9">
        <f t="shared" si="43"/>
        <v>46.68</v>
      </c>
      <c r="E2769" s="11"/>
      <c r="F2769" s="9"/>
    </row>
    <row r="2770" s="1" customFormat="1" customHeight="1" spans="1:6">
      <c r="A2770" s="9" t="str">
        <f>"10360109308"</f>
        <v>10360109308</v>
      </c>
      <c r="B2770" s="10">
        <v>31.55</v>
      </c>
      <c r="C2770" s="9"/>
      <c r="D2770" s="9">
        <f t="shared" si="43"/>
        <v>31.55</v>
      </c>
      <c r="E2770" s="11"/>
      <c r="F2770" s="9"/>
    </row>
    <row r="2771" s="1" customFormat="1" customHeight="1" spans="1:6">
      <c r="A2771" s="9" t="str">
        <f>"10320109309"</f>
        <v>10320109309</v>
      </c>
      <c r="B2771" s="10">
        <v>43.88</v>
      </c>
      <c r="C2771" s="9"/>
      <c r="D2771" s="9">
        <f t="shared" si="43"/>
        <v>43.88</v>
      </c>
      <c r="E2771" s="11"/>
      <c r="F2771" s="9"/>
    </row>
    <row r="2772" s="1" customFormat="1" customHeight="1" spans="1:6">
      <c r="A2772" s="9" t="str">
        <f>"10170109310"</f>
        <v>10170109310</v>
      </c>
      <c r="B2772" s="10">
        <v>33.06</v>
      </c>
      <c r="C2772" s="9"/>
      <c r="D2772" s="9">
        <f t="shared" si="43"/>
        <v>33.06</v>
      </c>
      <c r="E2772" s="11"/>
      <c r="F2772" s="9"/>
    </row>
    <row r="2773" s="1" customFormat="1" customHeight="1" spans="1:6">
      <c r="A2773" s="9" t="str">
        <f>"10340109311"</f>
        <v>10340109311</v>
      </c>
      <c r="B2773" s="10">
        <v>34.75</v>
      </c>
      <c r="C2773" s="9"/>
      <c r="D2773" s="9">
        <f t="shared" si="43"/>
        <v>34.75</v>
      </c>
      <c r="E2773" s="11"/>
      <c r="F2773" s="9"/>
    </row>
    <row r="2774" s="1" customFormat="1" customHeight="1" spans="1:6">
      <c r="A2774" s="9" t="str">
        <f>"10010109312"</f>
        <v>10010109312</v>
      </c>
      <c r="B2774" s="10">
        <v>0</v>
      </c>
      <c r="C2774" s="9"/>
      <c r="D2774" s="9">
        <f t="shared" si="43"/>
        <v>0</v>
      </c>
      <c r="E2774" s="11"/>
      <c r="F2774" s="9" t="s">
        <v>7</v>
      </c>
    </row>
    <row r="2775" s="1" customFormat="1" customHeight="1" spans="1:6">
      <c r="A2775" s="9" t="str">
        <f>"10170109313"</f>
        <v>10170109313</v>
      </c>
      <c r="B2775" s="10">
        <v>0</v>
      </c>
      <c r="C2775" s="9"/>
      <c r="D2775" s="9">
        <f t="shared" si="43"/>
        <v>0</v>
      </c>
      <c r="E2775" s="11"/>
      <c r="F2775" s="9" t="s">
        <v>7</v>
      </c>
    </row>
    <row r="2776" s="1" customFormat="1" customHeight="1" spans="1:6">
      <c r="A2776" s="9" t="str">
        <f>"20180109314"</f>
        <v>20180109314</v>
      </c>
      <c r="B2776" s="10">
        <v>39.28</v>
      </c>
      <c r="C2776" s="9"/>
      <c r="D2776" s="9">
        <f t="shared" si="43"/>
        <v>39.28</v>
      </c>
      <c r="E2776" s="11"/>
      <c r="F2776" s="9"/>
    </row>
    <row r="2777" s="1" customFormat="1" customHeight="1" spans="1:6">
      <c r="A2777" s="9" t="str">
        <f>"10360109315"</f>
        <v>10360109315</v>
      </c>
      <c r="B2777" s="10">
        <v>53.34</v>
      </c>
      <c r="C2777" s="9"/>
      <c r="D2777" s="9">
        <f t="shared" si="43"/>
        <v>53.34</v>
      </c>
      <c r="E2777" s="11"/>
      <c r="F2777" s="9"/>
    </row>
    <row r="2778" s="1" customFormat="1" customHeight="1" spans="1:6">
      <c r="A2778" s="9" t="str">
        <f>"20180109316"</f>
        <v>20180109316</v>
      </c>
      <c r="B2778" s="10">
        <v>0</v>
      </c>
      <c r="C2778" s="9"/>
      <c r="D2778" s="9">
        <f t="shared" si="43"/>
        <v>0</v>
      </c>
      <c r="E2778" s="11"/>
      <c r="F2778" s="9" t="s">
        <v>7</v>
      </c>
    </row>
    <row r="2779" s="1" customFormat="1" customHeight="1" spans="1:6">
      <c r="A2779" s="9" t="str">
        <f>"10300109317"</f>
        <v>10300109317</v>
      </c>
      <c r="B2779" s="10">
        <v>38.91</v>
      </c>
      <c r="C2779" s="9"/>
      <c r="D2779" s="9">
        <f t="shared" si="43"/>
        <v>38.91</v>
      </c>
      <c r="E2779" s="11"/>
      <c r="F2779" s="9"/>
    </row>
    <row r="2780" s="1" customFormat="1" customHeight="1" spans="1:6">
      <c r="A2780" s="9" t="str">
        <f>"10510109318"</f>
        <v>10510109318</v>
      </c>
      <c r="B2780" s="10">
        <v>0</v>
      </c>
      <c r="C2780" s="9"/>
      <c r="D2780" s="9">
        <f t="shared" si="43"/>
        <v>0</v>
      </c>
      <c r="E2780" s="11"/>
      <c r="F2780" s="9" t="s">
        <v>7</v>
      </c>
    </row>
    <row r="2781" s="1" customFormat="1" customHeight="1" spans="1:6">
      <c r="A2781" s="9" t="str">
        <f>"10290109319"</f>
        <v>10290109319</v>
      </c>
      <c r="B2781" s="10">
        <v>52.81</v>
      </c>
      <c r="C2781" s="9"/>
      <c r="D2781" s="9">
        <f t="shared" si="43"/>
        <v>52.81</v>
      </c>
      <c r="E2781" s="11"/>
      <c r="F2781" s="9"/>
    </row>
    <row r="2782" s="1" customFormat="1" customHeight="1" spans="1:6">
      <c r="A2782" s="9" t="str">
        <f>"10520109320"</f>
        <v>10520109320</v>
      </c>
      <c r="B2782" s="10">
        <v>42.18</v>
      </c>
      <c r="C2782" s="9"/>
      <c r="D2782" s="9">
        <f t="shared" si="43"/>
        <v>42.18</v>
      </c>
      <c r="E2782" s="11"/>
      <c r="F2782" s="9"/>
    </row>
    <row r="2783" s="1" customFormat="1" customHeight="1" spans="1:6">
      <c r="A2783" s="9" t="str">
        <f>"10420109321"</f>
        <v>10420109321</v>
      </c>
      <c r="B2783" s="10">
        <v>40.69</v>
      </c>
      <c r="C2783" s="9"/>
      <c r="D2783" s="9">
        <f t="shared" si="43"/>
        <v>40.69</v>
      </c>
      <c r="E2783" s="11"/>
      <c r="F2783" s="9"/>
    </row>
    <row r="2784" s="1" customFormat="1" customHeight="1" spans="1:6">
      <c r="A2784" s="9" t="str">
        <f>"10330109322"</f>
        <v>10330109322</v>
      </c>
      <c r="B2784" s="10">
        <v>34.8</v>
      </c>
      <c r="C2784" s="9">
        <v>10</v>
      </c>
      <c r="D2784" s="9">
        <f t="shared" si="43"/>
        <v>44.8</v>
      </c>
      <c r="E2784" s="12" t="s">
        <v>8</v>
      </c>
      <c r="F2784" s="9"/>
    </row>
    <row r="2785" s="1" customFormat="1" customHeight="1" spans="1:6">
      <c r="A2785" s="9" t="str">
        <f>"10360109323"</f>
        <v>10360109323</v>
      </c>
      <c r="B2785" s="10">
        <v>0</v>
      </c>
      <c r="C2785" s="9"/>
      <c r="D2785" s="9">
        <f t="shared" si="43"/>
        <v>0</v>
      </c>
      <c r="E2785" s="11"/>
      <c r="F2785" s="9" t="s">
        <v>7</v>
      </c>
    </row>
    <row r="2786" s="1" customFormat="1" customHeight="1" spans="1:6">
      <c r="A2786" s="9" t="str">
        <f>"10330109324"</f>
        <v>10330109324</v>
      </c>
      <c r="B2786" s="10">
        <v>0</v>
      </c>
      <c r="C2786" s="9"/>
      <c r="D2786" s="9">
        <f t="shared" si="43"/>
        <v>0</v>
      </c>
      <c r="E2786" s="11"/>
      <c r="F2786" s="9" t="s">
        <v>7</v>
      </c>
    </row>
    <row r="2787" s="1" customFormat="1" customHeight="1" spans="1:6">
      <c r="A2787" s="9" t="str">
        <f>"10360109325"</f>
        <v>10360109325</v>
      </c>
      <c r="B2787" s="10">
        <v>38.46</v>
      </c>
      <c r="C2787" s="9"/>
      <c r="D2787" s="9">
        <f t="shared" si="43"/>
        <v>38.46</v>
      </c>
      <c r="E2787" s="11"/>
      <c r="F2787" s="9"/>
    </row>
    <row r="2788" s="1" customFormat="1" customHeight="1" spans="1:6">
      <c r="A2788" s="9" t="str">
        <f>"10500109326"</f>
        <v>10500109326</v>
      </c>
      <c r="B2788" s="10">
        <v>39.17</v>
      </c>
      <c r="C2788" s="9"/>
      <c r="D2788" s="9">
        <f t="shared" si="43"/>
        <v>39.17</v>
      </c>
      <c r="E2788" s="11"/>
      <c r="F2788" s="9"/>
    </row>
    <row r="2789" s="1" customFormat="1" customHeight="1" spans="1:6">
      <c r="A2789" s="9" t="str">
        <f>"10170109327"</f>
        <v>10170109327</v>
      </c>
      <c r="B2789" s="10">
        <v>38.92</v>
      </c>
      <c r="C2789" s="9"/>
      <c r="D2789" s="9">
        <f t="shared" si="43"/>
        <v>38.92</v>
      </c>
      <c r="E2789" s="11"/>
      <c r="F2789" s="9"/>
    </row>
    <row r="2790" s="1" customFormat="1" customHeight="1" spans="1:6">
      <c r="A2790" s="9" t="str">
        <f>"10360109328"</f>
        <v>10360109328</v>
      </c>
      <c r="B2790" s="10">
        <v>0</v>
      </c>
      <c r="C2790" s="9"/>
      <c r="D2790" s="9">
        <f t="shared" si="43"/>
        <v>0</v>
      </c>
      <c r="E2790" s="11"/>
      <c r="F2790" s="9" t="s">
        <v>7</v>
      </c>
    </row>
    <row r="2791" s="1" customFormat="1" customHeight="1" spans="1:6">
      <c r="A2791" s="9" t="str">
        <f>"10500109329"</f>
        <v>10500109329</v>
      </c>
      <c r="B2791" s="10">
        <v>30.34</v>
      </c>
      <c r="C2791" s="9"/>
      <c r="D2791" s="9">
        <f t="shared" si="43"/>
        <v>30.34</v>
      </c>
      <c r="E2791" s="11"/>
      <c r="F2791" s="9"/>
    </row>
    <row r="2792" s="1" customFormat="1" customHeight="1" spans="1:6">
      <c r="A2792" s="9" t="str">
        <f>"10040109330"</f>
        <v>10040109330</v>
      </c>
      <c r="B2792" s="10">
        <v>44.48</v>
      </c>
      <c r="C2792" s="9"/>
      <c r="D2792" s="9">
        <f t="shared" si="43"/>
        <v>44.48</v>
      </c>
      <c r="E2792" s="11"/>
      <c r="F2792" s="9"/>
    </row>
    <row r="2793" s="1" customFormat="1" customHeight="1" spans="1:6">
      <c r="A2793" s="9" t="str">
        <f>"10490109401"</f>
        <v>10490109401</v>
      </c>
      <c r="B2793" s="10">
        <v>45.96</v>
      </c>
      <c r="C2793" s="9"/>
      <c r="D2793" s="9">
        <f t="shared" si="43"/>
        <v>45.96</v>
      </c>
      <c r="E2793" s="11"/>
      <c r="F2793" s="9"/>
    </row>
    <row r="2794" s="1" customFormat="1" customHeight="1" spans="1:6">
      <c r="A2794" s="9" t="str">
        <f>"10530109402"</f>
        <v>10530109402</v>
      </c>
      <c r="B2794" s="10">
        <v>40.59</v>
      </c>
      <c r="C2794" s="9"/>
      <c r="D2794" s="9">
        <f t="shared" si="43"/>
        <v>40.59</v>
      </c>
      <c r="E2794" s="11"/>
      <c r="F2794" s="9"/>
    </row>
    <row r="2795" s="1" customFormat="1" customHeight="1" spans="1:6">
      <c r="A2795" s="9" t="str">
        <f>"10360109403"</f>
        <v>10360109403</v>
      </c>
      <c r="B2795" s="10">
        <v>46.5</v>
      </c>
      <c r="C2795" s="9"/>
      <c r="D2795" s="9">
        <f t="shared" si="43"/>
        <v>46.5</v>
      </c>
      <c r="E2795" s="11"/>
      <c r="F2795" s="9"/>
    </row>
    <row r="2796" s="1" customFormat="1" customHeight="1" spans="1:6">
      <c r="A2796" s="9" t="str">
        <f>"10500109404"</f>
        <v>10500109404</v>
      </c>
      <c r="B2796" s="10">
        <v>0</v>
      </c>
      <c r="C2796" s="9"/>
      <c r="D2796" s="9">
        <f t="shared" si="43"/>
        <v>0</v>
      </c>
      <c r="E2796" s="11"/>
      <c r="F2796" s="9" t="s">
        <v>7</v>
      </c>
    </row>
    <row r="2797" s="1" customFormat="1" customHeight="1" spans="1:6">
      <c r="A2797" s="9" t="str">
        <f>"10360109405"</f>
        <v>10360109405</v>
      </c>
      <c r="B2797" s="10">
        <v>39.81</v>
      </c>
      <c r="C2797" s="9"/>
      <c r="D2797" s="9">
        <f t="shared" si="43"/>
        <v>39.81</v>
      </c>
      <c r="E2797" s="11"/>
      <c r="F2797" s="9"/>
    </row>
    <row r="2798" s="1" customFormat="1" customHeight="1" spans="1:6">
      <c r="A2798" s="9" t="str">
        <f>"10530109406"</f>
        <v>10530109406</v>
      </c>
      <c r="B2798" s="10">
        <v>40.89</v>
      </c>
      <c r="C2798" s="9"/>
      <c r="D2798" s="9">
        <f t="shared" si="43"/>
        <v>40.89</v>
      </c>
      <c r="E2798" s="11"/>
      <c r="F2798" s="9"/>
    </row>
    <row r="2799" s="1" customFormat="1" customHeight="1" spans="1:6">
      <c r="A2799" s="9" t="str">
        <f>"10040109407"</f>
        <v>10040109407</v>
      </c>
      <c r="B2799" s="10">
        <v>52.35</v>
      </c>
      <c r="C2799" s="9"/>
      <c r="D2799" s="9">
        <f t="shared" si="43"/>
        <v>52.35</v>
      </c>
      <c r="E2799" s="11"/>
      <c r="F2799" s="9"/>
    </row>
    <row r="2800" s="1" customFormat="1" customHeight="1" spans="1:6">
      <c r="A2800" s="9" t="str">
        <f>"10140109408"</f>
        <v>10140109408</v>
      </c>
      <c r="B2800" s="10">
        <v>46.81</v>
      </c>
      <c r="C2800" s="9"/>
      <c r="D2800" s="9">
        <f t="shared" si="43"/>
        <v>46.81</v>
      </c>
      <c r="E2800" s="11"/>
      <c r="F2800" s="9"/>
    </row>
    <row r="2801" s="1" customFormat="1" customHeight="1" spans="1:6">
      <c r="A2801" s="9" t="str">
        <f>"10420109409"</f>
        <v>10420109409</v>
      </c>
      <c r="B2801" s="10">
        <v>0</v>
      </c>
      <c r="C2801" s="9"/>
      <c r="D2801" s="9">
        <f t="shared" si="43"/>
        <v>0</v>
      </c>
      <c r="E2801" s="11"/>
      <c r="F2801" s="9" t="s">
        <v>7</v>
      </c>
    </row>
    <row r="2802" s="1" customFormat="1" customHeight="1" spans="1:6">
      <c r="A2802" s="9" t="str">
        <f>"10510109410"</f>
        <v>10510109410</v>
      </c>
      <c r="B2802" s="10">
        <v>28.51</v>
      </c>
      <c r="C2802" s="9"/>
      <c r="D2802" s="9">
        <f t="shared" si="43"/>
        <v>28.51</v>
      </c>
      <c r="E2802" s="11"/>
      <c r="F2802" s="9"/>
    </row>
    <row r="2803" s="1" customFormat="1" customHeight="1" spans="1:6">
      <c r="A2803" s="9" t="str">
        <f>"10410109411"</f>
        <v>10410109411</v>
      </c>
      <c r="B2803" s="10">
        <v>49.24</v>
      </c>
      <c r="C2803" s="9"/>
      <c r="D2803" s="9">
        <f t="shared" si="43"/>
        <v>49.24</v>
      </c>
      <c r="E2803" s="11"/>
      <c r="F2803" s="9"/>
    </row>
    <row r="2804" s="1" customFormat="1" customHeight="1" spans="1:6">
      <c r="A2804" s="9" t="str">
        <f>"10360109412"</f>
        <v>10360109412</v>
      </c>
      <c r="B2804" s="10">
        <v>0</v>
      </c>
      <c r="C2804" s="9"/>
      <c r="D2804" s="9">
        <f t="shared" si="43"/>
        <v>0</v>
      </c>
      <c r="E2804" s="11"/>
      <c r="F2804" s="9" t="s">
        <v>7</v>
      </c>
    </row>
    <row r="2805" s="1" customFormat="1" customHeight="1" spans="1:6">
      <c r="A2805" s="9" t="str">
        <f>"10500109413"</f>
        <v>10500109413</v>
      </c>
      <c r="B2805" s="10">
        <v>39.9</v>
      </c>
      <c r="C2805" s="9"/>
      <c r="D2805" s="9">
        <f t="shared" si="43"/>
        <v>39.9</v>
      </c>
      <c r="E2805" s="11"/>
      <c r="F2805" s="9"/>
    </row>
    <row r="2806" s="1" customFormat="1" customHeight="1" spans="1:6">
      <c r="A2806" s="9" t="str">
        <f>"10360109414"</f>
        <v>10360109414</v>
      </c>
      <c r="B2806" s="10">
        <v>32.41</v>
      </c>
      <c r="C2806" s="9"/>
      <c r="D2806" s="9">
        <f t="shared" si="43"/>
        <v>32.41</v>
      </c>
      <c r="E2806" s="11"/>
      <c r="F2806" s="9"/>
    </row>
    <row r="2807" s="1" customFormat="1" customHeight="1" spans="1:6">
      <c r="A2807" s="9" t="str">
        <f>"10300109415"</f>
        <v>10300109415</v>
      </c>
      <c r="B2807" s="10">
        <v>38.86</v>
      </c>
      <c r="C2807" s="9"/>
      <c r="D2807" s="9">
        <f t="shared" si="43"/>
        <v>38.86</v>
      </c>
      <c r="E2807" s="11"/>
      <c r="F2807" s="9"/>
    </row>
    <row r="2808" s="1" customFormat="1" customHeight="1" spans="1:6">
      <c r="A2808" s="9" t="str">
        <f>"10100109416"</f>
        <v>10100109416</v>
      </c>
      <c r="B2808" s="10">
        <v>39.28</v>
      </c>
      <c r="C2808" s="9"/>
      <c r="D2808" s="9">
        <f t="shared" si="43"/>
        <v>39.28</v>
      </c>
      <c r="E2808" s="11"/>
      <c r="F2808" s="9"/>
    </row>
    <row r="2809" s="1" customFormat="1" customHeight="1" spans="1:6">
      <c r="A2809" s="9" t="str">
        <f>"10010109417"</f>
        <v>10010109417</v>
      </c>
      <c r="B2809" s="10">
        <v>41.38</v>
      </c>
      <c r="C2809" s="9"/>
      <c r="D2809" s="9">
        <f t="shared" si="43"/>
        <v>41.38</v>
      </c>
      <c r="E2809" s="11"/>
      <c r="F2809" s="9"/>
    </row>
    <row r="2810" s="1" customFormat="1" customHeight="1" spans="1:6">
      <c r="A2810" s="9" t="str">
        <f>"10360109418"</f>
        <v>10360109418</v>
      </c>
      <c r="B2810" s="10">
        <v>0</v>
      </c>
      <c r="C2810" s="9"/>
      <c r="D2810" s="9">
        <f t="shared" si="43"/>
        <v>0</v>
      </c>
      <c r="E2810" s="11"/>
      <c r="F2810" s="9" t="s">
        <v>7</v>
      </c>
    </row>
    <row r="2811" s="1" customFormat="1" customHeight="1" spans="1:6">
      <c r="A2811" s="9" t="str">
        <f>"10080109419"</f>
        <v>10080109419</v>
      </c>
      <c r="B2811" s="10">
        <v>46.83</v>
      </c>
      <c r="C2811" s="9"/>
      <c r="D2811" s="9">
        <f t="shared" si="43"/>
        <v>46.83</v>
      </c>
      <c r="E2811" s="11"/>
      <c r="F2811" s="9"/>
    </row>
    <row r="2812" s="1" customFormat="1" customHeight="1" spans="1:6">
      <c r="A2812" s="9" t="str">
        <f>"10490109420"</f>
        <v>10490109420</v>
      </c>
      <c r="B2812" s="10">
        <v>44</v>
      </c>
      <c r="C2812" s="9"/>
      <c r="D2812" s="9">
        <f t="shared" si="43"/>
        <v>44</v>
      </c>
      <c r="E2812" s="11"/>
      <c r="F2812" s="9"/>
    </row>
    <row r="2813" s="1" customFormat="1" customHeight="1" spans="1:6">
      <c r="A2813" s="9" t="str">
        <f>"10530109421"</f>
        <v>10530109421</v>
      </c>
      <c r="B2813" s="10">
        <v>29.76</v>
      </c>
      <c r="C2813" s="9"/>
      <c r="D2813" s="9">
        <f t="shared" si="43"/>
        <v>29.76</v>
      </c>
      <c r="E2813" s="11"/>
      <c r="F2813" s="9"/>
    </row>
    <row r="2814" s="1" customFormat="1" customHeight="1" spans="1:6">
      <c r="A2814" s="9" t="str">
        <f>"10530109422"</f>
        <v>10530109422</v>
      </c>
      <c r="B2814" s="10">
        <v>40.4</v>
      </c>
      <c r="C2814" s="9"/>
      <c r="D2814" s="9">
        <f t="shared" si="43"/>
        <v>40.4</v>
      </c>
      <c r="E2814" s="11"/>
      <c r="F2814" s="9"/>
    </row>
    <row r="2815" s="1" customFormat="1" customHeight="1" spans="1:6">
      <c r="A2815" s="9" t="str">
        <f>"10120109423"</f>
        <v>10120109423</v>
      </c>
      <c r="B2815" s="10">
        <v>39.27</v>
      </c>
      <c r="C2815" s="9"/>
      <c r="D2815" s="9">
        <f t="shared" si="43"/>
        <v>39.27</v>
      </c>
      <c r="E2815" s="11"/>
      <c r="F2815" s="9"/>
    </row>
    <row r="2816" s="1" customFormat="1" customHeight="1" spans="1:6">
      <c r="A2816" s="9" t="str">
        <f>"10210109424"</f>
        <v>10210109424</v>
      </c>
      <c r="B2816" s="10">
        <v>45.94</v>
      </c>
      <c r="C2816" s="9"/>
      <c r="D2816" s="9">
        <f t="shared" si="43"/>
        <v>45.94</v>
      </c>
      <c r="E2816" s="11"/>
      <c r="F2816" s="9"/>
    </row>
    <row r="2817" s="1" customFormat="1" customHeight="1" spans="1:6">
      <c r="A2817" s="9" t="str">
        <f>"10500109425"</f>
        <v>10500109425</v>
      </c>
      <c r="B2817" s="10">
        <v>32.39</v>
      </c>
      <c r="C2817" s="9"/>
      <c r="D2817" s="9">
        <f t="shared" si="43"/>
        <v>32.39</v>
      </c>
      <c r="E2817" s="11"/>
      <c r="F2817" s="9"/>
    </row>
    <row r="2818" s="1" customFormat="1" customHeight="1" spans="1:6">
      <c r="A2818" s="9" t="str">
        <f>"10500109426"</f>
        <v>10500109426</v>
      </c>
      <c r="B2818" s="10">
        <v>34.75</v>
      </c>
      <c r="C2818" s="9"/>
      <c r="D2818" s="9">
        <f t="shared" si="43"/>
        <v>34.75</v>
      </c>
      <c r="E2818" s="11"/>
      <c r="F2818" s="9"/>
    </row>
    <row r="2819" s="1" customFormat="1" customHeight="1" spans="1:6">
      <c r="A2819" s="9" t="str">
        <f>"10360109427"</f>
        <v>10360109427</v>
      </c>
      <c r="B2819" s="10">
        <v>31.77</v>
      </c>
      <c r="C2819" s="9"/>
      <c r="D2819" s="9">
        <f t="shared" ref="D2819:D2882" si="44">SUM(B2819:C2819)</f>
        <v>31.77</v>
      </c>
      <c r="E2819" s="11"/>
      <c r="F2819" s="9"/>
    </row>
    <row r="2820" s="1" customFormat="1" customHeight="1" spans="1:6">
      <c r="A2820" s="9" t="str">
        <f>"10280109428"</f>
        <v>10280109428</v>
      </c>
      <c r="B2820" s="10">
        <v>43.52</v>
      </c>
      <c r="C2820" s="9"/>
      <c r="D2820" s="9">
        <f t="shared" si="44"/>
        <v>43.52</v>
      </c>
      <c r="E2820" s="11"/>
      <c r="F2820" s="9"/>
    </row>
    <row r="2821" s="1" customFormat="1" customHeight="1" spans="1:6">
      <c r="A2821" s="9" t="str">
        <f>"10360109429"</f>
        <v>10360109429</v>
      </c>
      <c r="B2821" s="10">
        <v>50.66</v>
      </c>
      <c r="C2821" s="9"/>
      <c r="D2821" s="9">
        <f t="shared" si="44"/>
        <v>50.66</v>
      </c>
      <c r="E2821" s="11"/>
      <c r="F2821" s="9"/>
    </row>
    <row r="2822" s="1" customFormat="1" customHeight="1" spans="1:6">
      <c r="A2822" s="9" t="str">
        <f>"10210109430"</f>
        <v>10210109430</v>
      </c>
      <c r="B2822" s="10">
        <v>44.3</v>
      </c>
      <c r="C2822" s="9"/>
      <c r="D2822" s="9">
        <f t="shared" si="44"/>
        <v>44.3</v>
      </c>
      <c r="E2822" s="11"/>
      <c r="F2822" s="9"/>
    </row>
    <row r="2823" s="1" customFormat="1" customHeight="1" spans="1:6">
      <c r="A2823" s="9" t="str">
        <f>"10240109501"</f>
        <v>10240109501</v>
      </c>
      <c r="B2823" s="10">
        <v>0</v>
      </c>
      <c r="C2823" s="9"/>
      <c r="D2823" s="9">
        <f t="shared" si="44"/>
        <v>0</v>
      </c>
      <c r="E2823" s="11"/>
      <c r="F2823" s="9" t="s">
        <v>7</v>
      </c>
    </row>
    <row r="2824" s="1" customFormat="1" customHeight="1" spans="1:6">
      <c r="A2824" s="9" t="str">
        <f>"10490109502"</f>
        <v>10490109502</v>
      </c>
      <c r="B2824" s="10">
        <v>33.47</v>
      </c>
      <c r="C2824" s="9"/>
      <c r="D2824" s="9">
        <f t="shared" si="44"/>
        <v>33.47</v>
      </c>
      <c r="E2824" s="11"/>
      <c r="F2824" s="9"/>
    </row>
    <row r="2825" s="1" customFormat="1" customHeight="1" spans="1:6">
      <c r="A2825" s="9" t="str">
        <f>"10360109503"</f>
        <v>10360109503</v>
      </c>
      <c r="B2825" s="10">
        <v>27.95</v>
      </c>
      <c r="C2825" s="9"/>
      <c r="D2825" s="9">
        <f t="shared" si="44"/>
        <v>27.95</v>
      </c>
      <c r="E2825" s="11"/>
      <c r="F2825" s="9"/>
    </row>
    <row r="2826" s="1" customFormat="1" customHeight="1" spans="1:6">
      <c r="A2826" s="9" t="str">
        <f>"10140109504"</f>
        <v>10140109504</v>
      </c>
      <c r="B2826" s="10">
        <v>41.89</v>
      </c>
      <c r="C2826" s="9"/>
      <c r="D2826" s="9">
        <f t="shared" si="44"/>
        <v>41.89</v>
      </c>
      <c r="E2826" s="11"/>
      <c r="F2826" s="9"/>
    </row>
    <row r="2827" s="1" customFormat="1" customHeight="1" spans="1:6">
      <c r="A2827" s="9" t="str">
        <f>"10500109505"</f>
        <v>10500109505</v>
      </c>
      <c r="B2827" s="10">
        <v>36.76</v>
      </c>
      <c r="C2827" s="9"/>
      <c r="D2827" s="9">
        <f t="shared" si="44"/>
        <v>36.76</v>
      </c>
      <c r="E2827" s="11"/>
      <c r="F2827" s="9"/>
    </row>
    <row r="2828" s="1" customFormat="1" customHeight="1" spans="1:6">
      <c r="A2828" s="9" t="str">
        <f>"10500109506"</f>
        <v>10500109506</v>
      </c>
      <c r="B2828" s="10">
        <v>0</v>
      </c>
      <c r="C2828" s="9"/>
      <c r="D2828" s="9">
        <f t="shared" si="44"/>
        <v>0</v>
      </c>
      <c r="E2828" s="11"/>
      <c r="F2828" s="9" t="s">
        <v>7</v>
      </c>
    </row>
    <row r="2829" s="1" customFormat="1" customHeight="1" spans="1:6">
      <c r="A2829" s="9" t="str">
        <f>"10360109507"</f>
        <v>10360109507</v>
      </c>
      <c r="B2829" s="10">
        <v>33.15</v>
      </c>
      <c r="C2829" s="9"/>
      <c r="D2829" s="9">
        <f t="shared" si="44"/>
        <v>33.15</v>
      </c>
      <c r="E2829" s="11"/>
      <c r="F2829" s="9"/>
    </row>
    <row r="2830" s="1" customFormat="1" customHeight="1" spans="1:6">
      <c r="A2830" s="9" t="str">
        <f>"10010109508"</f>
        <v>10010109508</v>
      </c>
      <c r="B2830" s="10">
        <v>39.18</v>
      </c>
      <c r="C2830" s="9"/>
      <c r="D2830" s="9">
        <f t="shared" si="44"/>
        <v>39.18</v>
      </c>
      <c r="E2830" s="11"/>
      <c r="F2830" s="9"/>
    </row>
    <row r="2831" s="1" customFormat="1" customHeight="1" spans="1:6">
      <c r="A2831" s="9" t="str">
        <f>"10530109509"</f>
        <v>10530109509</v>
      </c>
      <c r="B2831" s="10">
        <v>41.79</v>
      </c>
      <c r="C2831" s="9"/>
      <c r="D2831" s="9">
        <f t="shared" si="44"/>
        <v>41.79</v>
      </c>
      <c r="E2831" s="11"/>
      <c r="F2831" s="9"/>
    </row>
    <row r="2832" s="1" customFormat="1" customHeight="1" spans="1:6">
      <c r="A2832" s="9" t="str">
        <f>"10360109510"</f>
        <v>10360109510</v>
      </c>
      <c r="B2832" s="10">
        <v>37.08</v>
      </c>
      <c r="C2832" s="9"/>
      <c r="D2832" s="9">
        <f t="shared" si="44"/>
        <v>37.08</v>
      </c>
      <c r="E2832" s="11"/>
      <c r="F2832" s="9"/>
    </row>
    <row r="2833" s="1" customFormat="1" customHeight="1" spans="1:6">
      <c r="A2833" s="9" t="str">
        <f>"10210109511"</f>
        <v>10210109511</v>
      </c>
      <c r="B2833" s="10">
        <v>49.35</v>
      </c>
      <c r="C2833" s="9"/>
      <c r="D2833" s="9">
        <f t="shared" si="44"/>
        <v>49.35</v>
      </c>
      <c r="E2833" s="11"/>
      <c r="F2833" s="9"/>
    </row>
    <row r="2834" s="1" customFormat="1" customHeight="1" spans="1:6">
      <c r="A2834" s="9" t="str">
        <f>"10300109512"</f>
        <v>10300109512</v>
      </c>
      <c r="B2834" s="10">
        <v>50.98</v>
      </c>
      <c r="C2834" s="9"/>
      <c r="D2834" s="9">
        <f t="shared" si="44"/>
        <v>50.98</v>
      </c>
      <c r="E2834" s="11"/>
      <c r="F2834" s="9"/>
    </row>
    <row r="2835" s="1" customFormat="1" customHeight="1" spans="1:6">
      <c r="A2835" s="9" t="str">
        <f>"10370109513"</f>
        <v>10370109513</v>
      </c>
      <c r="B2835" s="10">
        <v>42.71</v>
      </c>
      <c r="C2835" s="9"/>
      <c r="D2835" s="9">
        <f t="shared" si="44"/>
        <v>42.71</v>
      </c>
      <c r="E2835" s="11"/>
      <c r="F2835" s="9"/>
    </row>
    <row r="2836" s="1" customFormat="1" customHeight="1" spans="1:6">
      <c r="A2836" s="9" t="str">
        <f>"20180109514"</f>
        <v>20180109514</v>
      </c>
      <c r="B2836" s="10">
        <v>40.08</v>
      </c>
      <c r="C2836" s="9"/>
      <c r="D2836" s="9">
        <f t="shared" si="44"/>
        <v>40.08</v>
      </c>
      <c r="E2836" s="11"/>
      <c r="F2836" s="9"/>
    </row>
    <row r="2837" s="1" customFormat="1" customHeight="1" spans="1:6">
      <c r="A2837" s="9" t="str">
        <f>"10080109515"</f>
        <v>10080109515</v>
      </c>
      <c r="B2837" s="10">
        <v>36.06</v>
      </c>
      <c r="C2837" s="9"/>
      <c r="D2837" s="9">
        <f t="shared" si="44"/>
        <v>36.06</v>
      </c>
      <c r="E2837" s="11"/>
      <c r="F2837" s="9"/>
    </row>
    <row r="2838" s="1" customFormat="1" customHeight="1" spans="1:6">
      <c r="A2838" s="9" t="str">
        <f>"10330109516"</f>
        <v>10330109516</v>
      </c>
      <c r="B2838" s="10">
        <v>0</v>
      </c>
      <c r="C2838" s="9"/>
      <c r="D2838" s="9">
        <f t="shared" si="44"/>
        <v>0</v>
      </c>
      <c r="E2838" s="11"/>
      <c r="F2838" s="9" t="s">
        <v>7</v>
      </c>
    </row>
    <row r="2839" s="1" customFormat="1" customHeight="1" spans="1:6">
      <c r="A2839" s="9" t="str">
        <f>"10360109517"</f>
        <v>10360109517</v>
      </c>
      <c r="B2839" s="10">
        <v>41.81</v>
      </c>
      <c r="C2839" s="9"/>
      <c r="D2839" s="9">
        <f t="shared" si="44"/>
        <v>41.81</v>
      </c>
      <c r="E2839" s="11"/>
      <c r="F2839" s="9"/>
    </row>
    <row r="2840" s="1" customFormat="1" customHeight="1" spans="1:6">
      <c r="A2840" s="9" t="str">
        <f>"10130109518"</f>
        <v>10130109518</v>
      </c>
      <c r="B2840" s="10">
        <v>42.7</v>
      </c>
      <c r="C2840" s="9">
        <v>10</v>
      </c>
      <c r="D2840" s="9">
        <f t="shared" si="44"/>
        <v>52.7</v>
      </c>
      <c r="E2840" s="12" t="s">
        <v>8</v>
      </c>
      <c r="F2840" s="9"/>
    </row>
    <row r="2841" s="1" customFormat="1" customHeight="1" spans="1:6">
      <c r="A2841" s="9" t="str">
        <f>"10280109519"</f>
        <v>10280109519</v>
      </c>
      <c r="B2841" s="10">
        <v>0</v>
      </c>
      <c r="C2841" s="9"/>
      <c r="D2841" s="9">
        <f t="shared" si="44"/>
        <v>0</v>
      </c>
      <c r="E2841" s="11"/>
      <c r="F2841" s="9" t="s">
        <v>7</v>
      </c>
    </row>
    <row r="2842" s="1" customFormat="1" customHeight="1" spans="1:6">
      <c r="A2842" s="9" t="str">
        <f>"10370109520"</f>
        <v>10370109520</v>
      </c>
      <c r="B2842" s="10">
        <v>39.29</v>
      </c>
      <c r="C2842" s="9"/>
      <c r="D2842" s="9">
        <f t="shared" si="44"/>
        <v>39.29</v>
      </c>
      <c r="E2842" s="11"/>
      <c r="F2842" s="9"/>
    </row>
    <row r="2843" s="1" customFormat="1" customHeight="1" spans="1:6">
      <c r="A2843" s="9" t="str">
        <f>"10360109521"</f>
        <v>10360109521</v>
      </c>
      <c r="B2843" s="10">
        <v>40.44</v>
      </c>
      <c r="C2843" s="9"/>
      <c r="D2843" s="9">
        <f t="shared" si="44"/>
        <v>40.44</v>
      </c>
      <c r="E2843" s="11"/>
      <c r="F2843" s="9"/>
    </row>
    <row r="2844" s="1" customFormat="1" customHeight="1" spans="1:6">
      <c r="A2844" s="9" t="str">
        <f>"10080109522"</f>
        <v>10080109522</v>
      </c>
      <c r="B2844" s="10">
        <v>42.96</v>
      </c>
      <c r="C2844" s="9"/>
      <c r="D2844" s="9">
        <f t="shared" si="44"/>
        <v>42.96</v>
      </c>
      <c r="E2844" s="11"/>
      <c r="F2844" s="9"/>
    </row>
    <row r="2845" s="1" customFormat="1" customHeight="1" spans="1:6">
      <c r="A2845" s="9" t="str">
        <f>"10360109523"</f>
        <v>10360109523</v>
      </c>
      <c r="B2845" s="10">
        <v>0</v>
      </c>
      <c r="C2845" s="9"/>
      <c r="D2845" s="9">
        <f t="shared" si="44"/>
        <v>0</v>
      </c>
      <c r="E2845" s="11"/>
      <c r="F2845" s="9" t="s">
        <v>7</v>
      </c>
    </row>
    <row r="2846" s="1" customFormat="1" customHeight="1" spans="1:6">
      <c r="A2846" s="9" t="str">
        <f>"10360109524"</f>
        <v>10360109524</v>
      </c>
      <c r="B2846" s="10">
        <v>40.8</v>
      </c>
      <c r="C2846" s="9"/>
      <c r="D2846" s="9">
        <f t="shared" si="44"/>
        <v>40.8</v>
      </c>
      <c r="E2846" s="11"/>
      <c r="F2846" s="9"/>
    </row>
    <row r="2847" s="1" customFormat="1" customHeight="1" spans="1:6">
      <c r="A2847" s="9" t="str">
        <f>"10360109525"</f>
        <v>10360109525</v>
      </c>
      <c r="B2847" s="10">
        <v>40.72</v>
      </c>
      <c r="C2847" s="9"/>
      <c r="D2847" s="9">
        <f t="shared" si="44"/>
        <v>40.72</v>
      </c>
      <c r="E2847" s="11"/>
      <c r="F2847" s="9"/>
    </row>
    <row r="2848" s="1" customFormat="1" customHeight="1" spans="1:6">
      <c r="A2848" s="9" t="str">
        <f>"10080109526"</f>
        <v>10080109526</v>
      </c>
      <c r="B2848" s="10">
        <v>51.29</v>
      </c>
      <c r="C2848" s="9"/>
      <c r="D2848" s="9">
        <f t="shared" si="44"/>
        <v>51.29</v>
      </c>
      <c r="E2848" s="11"/>
      <c r="F2848" s="9"/>
    </row>
    <row r="2849" s="1" customFormat="1" customHeight="1" spans="1:6">
      <c r="A2849" s="9" t="str">
        <f>"10530109527"</f>
        <v>10530109527</v>
      </c>
      <c r="B2849" s="10">
        <v>52.55</v>
      </c>
      <c r="C2849" s="9"/>
      <c r="D2849" s="9">
        <f t="shared" si="44"/>
        <v>52.55</v>
      </c>
      <c r="E2849" s="11"/>
      <c r="F2849" s="9"/>
    </row>
    <row r="2850" s="1" customFormat="1" customHeight="1" spans="1:6">
      <c r="A2850" s="9" t="str">
        <f>"10140109528"</f>
        <v>10140109528</v>
      </c>
      <c r="B2850" s="10">
        <v>39.22</v>
      </c>
      <c r="C2850" s="9"/>
      <c r="D2850" s="9">
        <f t="shared" si="44"/>
        <v>39.22</v>
      </c>
      <c r="E2850" s="11"/>
      <c r="F2850" s="9"/>
    </row>
    <row r="2851" s="1" customFormat="1" customHeight="1" spans="1:6">
      <c r="A2851" s="9" t="str">
        <f>"10360109529"</f>
        <v>10360109529</v>
      </c>
      <c r="B2851" s="10">
        <v>41.95</v>
      </c>
      <c r="C2851" s="9">
        <v>10</v>
      </c>
      <c r="D2851" s="9">
        <f t="shared" si="44"/>
        <v>51.95</v>
      </c>
      <c r="E2851" s="12" t="s">
        <v>8</v>
      </c>
      <c r="F2851" s="9"/>
    </row>
    <row r="2852" s="1" customFormat="1" customHeight="1" spans="1:6">
      <c r="A2852" s="9" t="str">
        <f>"10240109530"</f>
        <v>10240109530</v>
      </c>
      <c r="B2852" s="10">
        <v>45.5</v>
      </c>
      <c r="C2852" s="9"/>
      <c r="D2852" s="9">
        <f t="shared" si="44"/>
        <v>45.5</v>
      </c>
      <c r="E2852" s="11"/>
      <c r="F2852" s="9"/>
    </row>
    <row r="2853" s="1" customFormat="1" customHeight="1" spans="1:6">
      <c r="A2853" s="9" t="str">
        <f>"10320109601"</f>
        <v>10320109601</v>
      </c>
      <c r="B2853" s="10">
        <v>0</v>
      </c>
      <c r="C2853" s="9"/>
      <c r="D2853" s="9">
        <f t="shared" si="44"/>
        <v>0</v>
      </c>
      <c r="E2853" s="11"/>
      <c r="F2853" s="9" t="s">
        <v>7</v>
      </c>
    </row>
    <row r="2854" s="1" customFormat="1" customHeight="1" spans="1:6">
      <c r="A2854" s="9" t="str">
        <f>"10360109602"</f>
        <v>10360109602</v>
      </c>
      <c r="B2854" s="10">
        <v>36.95</v>
      </c>
      <c r="C2854" s="9"/>
      <c r="D2854" s="9">
        <f t="shared" si="44"/>
        <v>36.95</v>
      </c>
      <c r="E2854" s="11"/>
      <c r="F2854" s="9"/>
    </row>
    <row r="2855" s="1" customFormat="1" customHeight="1" spans="1:6">
      <c r="A2855" s="9" t="str">
        <f>"10100109603"</f>
        <v>10100109603</v>
      </c>
      <c r="B2855" s="10">
        <v>0</v>
      </c>
      <c r="C2855" s="9"/>
      <c r="D2855" s="9">
        <f t="shared" si="44"/>
        <v>0</v>
      </c>
      <c r="E2855" s="11"/>
      <c r="F2855" s="9" t="s">
        <v>7</v>
      </c>
    </row>
    <row r="2856" s="1" customFormat="1" customHeight="1" spans="1:6">
      <c r="A2856" s="9" t="str">
        <f>"10300109604"</f>
        <v>10300109604</v>
      </c>
      <c r="B2856" s="10">
        <v>36.08</v>
      </c>
      <c r="C2856" s="9"/>
      <c r="D2856" s="9">
        <f t="shared" si="44"/>
        <v>36.08</v>
      </c>
      <c r="E2856" s="11"/>
      <c r="F2856" s="9"/>
    </row>
    <row r="2857" s="1" customFormat="1" customHeight="1" spans="1:6">
      <c r="A2857" s="9" t="str">
        <f>"10520109605"</f>
        <v>10520109605</v>
      </c>
      <c r="B2857" s="10">
        <v>40.16</v>
      </c>
      <c r="C2857" s="9"/>
      <c r="D2857" s="9">
        <f t="shared" si="44"/>
        <v>40.16</v>
      </c>
      <c r="E2857" s="11"/>
      <c r="F2857" s="9"/>
    </row>
    <row r="2858" s="1" customFormat="1" customHeight="1" spans="1:6">
      <c r="A2858" s="9" t="str">
        <f>"10130109606"</f>
        <v>10130109606</v>
      </c>
      <c r="B2858" s="10">
        <v>35.57</v>
      </c>
      <c r="C2858" s="9"/>
      <c r="D2858" s="9">
        <f t="shared" si="44"/>
        <v>35.57</v>
      </c>
      <c r="E2858" s="11"/>
      <c r="F2858" s="9"/>
    </row>
    <row r="2859" s="1" customFormat="1" customHeight="1" spans="1:6">
      <c r="A2859" s="9" t="str">
        <f>"10210109607"</f>
        <v>10210109607</v>
      </c>
      <c r="B2859" s="10">
        <v>0</v>
      </c>
      <c r="C2859" s="9"/>
      <c r="D2859" s="9">
        <f t="shared" si="44"/>
        <v>0</v>
      </c>
      <c r="E2859" s="11"/>
      <c r="F2859" s="9" t="s">
        <v>7</v>
      </c>
    </row>
    <row r="2860" s="1" customFormat="1" customHeight="1" spans="1:6">
      <c r="A2860" s="9" t="str">
        <f>"10360109608"</f>
        <v>10360109608</v>
      </c>
      <c r="B2860" s="10">
        <v>44.12</v>
      </c>
      <c r="C2860" s="9"/>
      <c r="D2860" s="9">
        <f t="shared" si="44"/>
        <v>44.12</v>
      </c>
      <c r="E2860" s="11"/>
      <c r="F2860" s="9"/>
    </row>
    <row r="2861" s="1" customFormat="1" customHeight="1" spans="1:6">
      <c r="A2861" s="9" t="str">
        <f>"10090109609"</f>
        <v>10090109609</v>
      </c>
      <c r="B2861" s="10">
        <v>0</v>
      </c>
      <c r="C2861" s="9"/>
      <c r="D2861" s="9">
        <f t="shared" si="44"/>
        <v>0</v>
      </c>
      <c r="E2861" s="11"/>
      <c r="F2861" s="9" t="s">
        <v>7</v>
      </c>
    </row>
    <row r="2862" s="1" customFormat="1" customHeight="1" spans="1:6">
      <c r="A2862" s="9" t="str">
        <f>"10210109610"</f>
        <v>10210109610</v>
      </c>
      <c r="B2862" s="10">
        <v>0</v>
      </c>
      <c r="C2862" s="9"/>
      <c r="D2862" s="9">
        <f t="shared" si="44"/>
        <v>0</v>
      </c>
      <c r="E2862" s="11"/>
      <c r="F2862" s="9" t="s">
        <v>7</v>
      </c>
    </row>
    <row r="2863" s="1" customFormat="1" customHeight="1" spans="1:6">
      <c r="A2863" s="9" t="str">
        <f>"10300109611"</f>
        <v>10300109611</v>
      </c>
      <c r="B2863" s="10">
        <v>37.77</v>
      </c>
      <c r="C2863" s="9"/>
      <c r="D2863" s="9">
        <f t="shared" si="44"/>
        <v>37.77</v>
      </c>
      <c r="E2863" s="11"/>
      <c r="F2863" s="9"/>
    </row>
    <row r="2864" s="1" customFormat="1" customHeight="1" spans="1:6">
      <c r="A2864" s="9" t="str">
        <f>"10190109612"</f>
        <v>10190109612</v>
      </c>
      <c r="B2864" s="10">
        <v>43.29</v>
      </c>
      <c r="C2864" s="9"/>
      <c r="D2864" s="9">
        <f t="shared" si="44"/>
        <v>43.29</v>
      </c>
      <c r="E2864" s="11"/>
      <c r="F2864" s="9"/>
    </row>
    <row r="2865" s="1" customFormat="1" customHeight="1" spans="1:6">
      <c r="A2865" s="9" t="str">
        <f>"10040109613"</f>
        <v>10040109613</v>
      </c>
      <c r="B2865" s="10">
        <v>69.72</v>
      </c>
      <c r="C2865" s="9"/>
      <c r="D2865" s="9">
        <f t="shared" si="44"/>
        <v>69.72</v>
      </c>
      <c r="E2865" s="11"/>
      <c r="F2865" s="9"/>
    </row>
    <row r="2866" s="1" customFormat="1" customHeight="1" spans="1:6">
      <c r="A2866" s="9" t="str">
        <f>"10420109614"</f>
        <v>10420109614</v>
      </c>
      <c r="B2866" s="10">
        <v>42.39</v>
      </c>
      <c r="C2866" s="9"/>
      <c r="D2866" s="9">
        <f t="shared" si="44"/>
        <v>42.39</v>
      </c>
      <c r="E2866" s="11"/>
      <c r="F2866" s="9"/>
    </row>
    <row r="2867" s="1" customFormat="1" customHeight="1" spans="1:6">
      <c r="A2867" s="9" t="str">
        <f>"10020109615"</f>
        <v>10020109615</v>
      </c>
      <c r="B2867" s="10">
        <v>30.05</v>
      </c>
      <c r="C2867" s="9"/>
      <c r="D2867" s="9">
        <f t="shared" si="44"/>
        <v>30.05</v>
      </c>
      <c r="E2867" s="11"/>
      <c r="F2867" s="9"/>
    </row>
    <row r="2868" s="1" customFormat="1" customHeight="1" spans="1:6">
      <c r="A2868" s="9" t="str">
        <f>"10280109616"</f>
        <v>10280109616</v>
      </c>
      <c r="B2868" s="10">
        <v>44.59</v>
      </c>
      <c r="C2868" s="9"/>
      <c r="D2868" s="9">
        <f t="shared" si="44"/>
        <v>44.59</v>
      </c>
      <c r="E2868" s="11"/>
      <c r="F2868" s="9"/>
    </row>
    <row r="2869" s="1" customFormat="1" customHeight="1" spans="1:6">
      <c r="A2869" s="9" t="str">
        <f>"10290109617"</f>
        <v>10290109617</v>
      </c>
      <c r="B2869" s="10">
        <v>41.34</v>
      </c>
      <c r="C2869" s="9"/>
      <c r="D2869" s="9">
        <f t="shared" si="44"/>
        <v>41.34</v>
      </c>
      <c r="E2869" s="11"/>
      <c r="F2869" s="9"/>
    </row>
    <row r="2870" s="1" customFormat="1" customHeight="1" spans="1:6">
      <c r="A2870" s="9" t="str">
        <f>"10360109618"</f>
        <v>10360109618</v>
      </c>
      <c r="B2870" s="10">
        <v>0</v>
      </c>
      <c r="C2870" s="9"/>
      <c r="D2870" s="9">
        <f t="shared" si="44"/>
        <v>0</v>
      </c>
      <c r="E2870" s="11"/>
      <c r="F2870" s="9" t="s">
        <v>7</v>
      </c>
    </row>
    <row r="2871" s="1" customFormat="1" customHeight="1" spans="1:6">
      <c r="A2871" s="9" t="str">
        <f>"10410109619"</f>
        <v>10410109619</v>
      </c>
      <c r="B2871" s="10">
        <v>40.63</v>
      </c>
      <c r="C2871" s="9"/>
      <c r="D2871" s="9">
        <f t="shared" si="44"/>
        <v>40.63</v>
      </c>
      <c r="E2871" s="11"/>
      <c r="F2871" s="9"/>
    </row>
    <row r="2872" s="1" customFormat="1" customHeight="1" spans="1:6">
      <c r="A2872" s="9" t="str">
        <f>"10060109620"</f>
        <v>10060109620</v>
      </c>
      <c r="B2872" s="10">
        <v>0</v>
      </c>
      <c r="C2872" s="9"/>
      <c r="D2872" s="9">
        <f t="shared" si="44"/>
        <v>0</v>
      </c>
      <c r="E2872" s="11"/>
      <c r="F2872" s="9" t="s">
        <v>7</v>
      </c>
    </row>
    <row r="2873" s="1" customFormat="1" customHeight="1" spans="1:6">
      <c r="A2873" s="9" t="str">
        <f>"10080109621"</f>
        <v>10080109621</v>
      </c>
      <c r="B2873" s="10">
        <v>33.15</v>
      </c>
      <c r="C2873" s="9"/>
      <c r="D2873" s="9">
        <f t="shared" si="44"/>
        <v>33.15</v>
      </c>
      <c r="E2873" s="11"/>
      <c r="F2873" s="9"/>
    </row>
    <row r="2874" s="1" customFormat="1" customHeight="1" spans="1:6">
      <c r="A2874" s="9" t="str">
        <f>"10080109622"</f>
        <v>10080109622</v>
      </c>
      <c r="B2874" s="10">
        <v>0</v>
      </c>
      <c r="C2874" s="9"/>
      <c r="D2874" s="9">
        <f t="shared" si="44"/>
        <v>0</v>
      </c>
      <c r="E2874" s="11"/>
      <c r="F2874" s="9" t="s">
        <v>7</v>
      </c>
    </row>
    <row r="2875" s="1" customFormat="1" customHeight="1" spans="1:6">
      <c r="A2875" s="9" t="str">
        <f>"10360109623"</f>
        <v>10360109623</v>
      </c>
      <c r="B2875" s="10">
        <v>36.61</v>
      </c>
      <c r="C2875" s="9"/>
      <c r="D2875" s="9">
        <f t="shared" si="44"/>
        <v>36.61</v>
      </c>
      <c r="E2875" s="11"/>
      <c r="F2875" s="9"/>
    </row>
    <row r="2876" s="1" customFormat="1" customHeight="1" spans="1:6">
      <c r="A2876" s="9" t="str">
        <f>"10360109624"</f>
        <v>10360109624</v>
      </c>
      <c r="B2876" s="10">
        <v>33.75</v>
      </c>
      <c r="C2876" s="9"/>
      <c r="D2876" s="9">
        <f t="shared" si="44"/>
        <v>33.75</v>
      </c>
      <c r="E2876" s="11"/>
      <c r="F2876" s="9"/>
    </row>
    <row r="2877" s="1" customFormat="1" customHeight="1" spans="1:6">
      <c r="A2877" s="9" t="str">
        <f>"10010109625"</f>
        <v>10010109625</v>
      </c>
      <c r="B2877" s="10">
        <v>0</v>
      </c>
      <c r="C2877" s="9"/>
      <c r="D2877" s="9">
        <f t="shared" si="44"/>
        <v>0</v>
      </c>
      <c r="E2877" s="11"/>
      <c r="F2877" s="9" t="s">
        <v>7</v>
      </c>
    </row>
    <row r="2878" s="1" customFormat="1" customHeight="1" spans="1:6">
      <c r="A2878" s="9" t="str">
        <f>"10360109626"</f>
        <v>10360109626</v>
      </c>
      <c r="B2878" s="10">
        <v>0</v>
      </c>
      <c r="C2878" s="9"/>
      <c r="D2878" s="9">
        <f t="shared" si="44"/>
        <v>0</v>
      </c>
      <c r="E2878" s="11"/>
      <c r="F2878" s="9" t="s">
        <v>7</v>
      </c>
    </row>
    <row r="2879" s="1" customFormat="1" customHeight="1" spans="1:6">
      <c r="A2879" s="9" t="str">
        <f>"10330109627"</f>
        <v>10330109627</v>
      </c>
      <c r="B2879" s="10">
        <v>38.78</v>
      </c>
      <c r="C2879" s="9"/>
      <c r="D2879" s="9">
        <f t="shared" si="44"/>
        <v>38.78</v>
      </c>
      <c r="E2879" s="11"/>
      <c r="F2879" s="9"/>
    </row>
    <row r="2880" s="1" customFormat="1" customHeight="1" spans="1:6">
      <c r="A2880" s="9" t="str">
        <f>"10270109628"</f>
        <v>10270109628</v>
      </c>
      <c r="B2880" s="10">
        <v>43.33</v>
      </c>
      <c r="C2880" s="9"/>
      <c r="D2880" s="9">
        <f t="shared" si="44"/>
        <v>43.33</v>
      </c>
      <c r="E2880" s="11"/>
      <c r="F2880" s="9"/>
    </row>
    <row r="2881" s="1" customFormat="1" customHeight="1" spans="1:6">
      <c r="A2881" s="9" t="str">
        <f>"10360109629"</f>
        <v>10360109629</v>
      </c>
      <c r="B2881" s="10">
        <v>0</v>
      </c>
      <c r="C2881" s="9"/>
      <c r="D2881" s="9">
        <f t="shared" si="44"/>
        <v>0</v>
      </c>
      <c r="E2881" s="11"/>
      <c r="F2881" s="9" t="s">
        <v>7</v>
      </c>
    </row>
    <row r="2882" s="1" customFormat="1" customHeight="1" spans="1:6">
      <c r="A2882" s="9" t="str">
        <f>"10360109630"</f>
        <v>10360109630</v>
      </c>
      <c r="B2882" s="10">
        <v>0</v>
      </c>
      <c r="C2882" s="9"/>
      <c r="D2882" s="9">
        <f t="shared" si="44"/>
        <v>0</v>
      </c>
      <c r="E2882" s="11"/>
      <c r="F2882" s="9" t="s">
        <v>7</v>
      </c>
    </row>
    <row r="2883" s="1" customFormat="1" customHeight="1" spans="1:6">
      <c r="A2883" s="9" t="str">
        <f>"10510109701"</f>
        <v>10510109701</v>
      </c>
      <c r="B2883" s="10">
        <v>39.66</v>
      </c>
      <c r="C2883" s="9"/>
      <c r="D2883" s="9">
        <f t="shared" ref="D2883:D2946" si="45">SUM(B2883:C2883)</f>
        <v>39.66</v>
      </c>
      <c r="E2883" s="11"/>
      <c r="F2883" s="9"/>
    </row>
    <row r="2884" s="1" customFormat="1" customHeight="1" spans="1:6">
      <c r="A2884" s="9" t="str">
        <f>"10360109702"</f>
        <v>10360109702</v>
      </c>
      <c r="B2884" s="10">
        <v>39.64</v>
      </c>
      <c r="C2884" s="9"/>
      <c r="D2884" s="9">
        <f t="shared" si="45"/>
        <v>39.64</v>
      </c>
      <c r="E2884" s="11"/>
      <c r="F2884" s="9"/>
    </row>
    <row r="2885" s="1" customFormat="1" customHeight="1" spans="1:6">
      <c r="A2885" s="9" t="str">
        <f>"10110109703"</f>
        <v>10110109703</v>
      </c>
      <c r="B2885" s="10">
        <v>34.78</v>
      </c>
      <c r="C2885" s="9"/>
      <c r="D2885" s="9">
        <f t="shared" si="45"/>
        <v>34.78</v>
      </c>
      <c r="E2885" s="11"/>
      <c r="F2885" s="9"/>
    </row>
    <row r="2886" s="1" customFormat="1" customHeight="1" spans="1:6">
      <c r="A2886" s="9" t="str">
        <f>"10300109704"</f>
        <v>10300109704</v>
      </c>
      <c r="B2886" s="10">
        <v>38.18</v>
      </c>
      <c r="C2886" s="9"/>
      <c r="D2886" s="9">
        <f t="shared" si="45"/>
        <v>38.18</v>
      </c>
      <c r="E2886" s="11"/>
      <c r="F2886" s="9"/>
    </row>
    <row r="2887" s="1" customFormat="1" customHeight="1" spans="1:6">
      <c r="A2887" s="9" t="str">
        <f>"10090109705"</f>
        <v>10090109705</v>
      </c>
      <c r="B2887" s="10">
        <v>39.24</v>
      </c>
      <c r="C2887" s="9"/>
      <c r="D2887" s="9">
        <f t="shared" si="45"/>
        <v>39.24</v>
      </c>
      <c r="E2887" s="11"/>
      <c r="F2887" s="9"/>
    </row>
    <row r="2888" s="1" customFormat="1" customHeight="1" spans="1:6">
      <c r="A2888" s="9" t="str">
        <f>"10100109706"</f>
        <v>10100109706</v>
      </c>
      <c r="B2888" s="10">
        <v>43.17</v>
      </c>
      <c r="C2888" s="9"/>
      <c r="D2888" s="9">
        <f t="shared" si="45"/>
        <v>43.17</v>
      </c>
      <c r="E2888" s="11"/>
      <c r="F2888" s="9"/>
    </row>
    <row r="2889" s="1" customFormat="1" customHeight="1" spans="1:6">
      <c r="A2889" s="9" t="str">
        <f>"10200109707"</f>
        <v>10200109707</v>
      </c>
      <c r="B2889" s="10">
        <v>52.32</v>
      </c>
      <c r="C2889" s="9"/>
      <c r="D2889" s="9">
        <f t="shared" si="45"/>
        <v>52.32</v>
      </c>
      <c r="E2889" s="11"/>
      <c r="F2889" s="9"/>
    </row>
    <row r="2890" s="1" customFormat="1" customHeight="1" spans="1:6">
      <c r="A2890" s="9" t="str">
        <f>"10290109708"</f>
        <v>10290109708</v>
      </c>
      <c r="B2890" s="10">
        <v>0</v>
      </c>
      <c r="C2890" s="9"/>
      <c r="D2890" s="9">
        <f t="shared" si="45"/>
        <v>0</v>
      </c>
      <c r="E2890" s="11"/>
      <c r="F2890" s="9" t="s">
        <v>7</v>
      </c>
    </row>
    <row r="2891" s="1" customFormat="1" customHeight="1" spans="1:6">
      <c r="A2891" s="9" t="str">
        <f>"10300109709"</f>
        <v>10300109709</v>
      </c>
      <c r="B2891" s="10">
        <v>0</v>
      </c>
      <c r="C2891" s="9"/>
      <c r="D2891" s="9">
        <f t="shared" si="45"/>
        <v>0</v>
      </c>
      <c r="E2891" s="11"/>
      <c r="F2891" s="9" t="s">
        <v>7</v>
      </c>
    </row>
    <row r="2892" s="1" customFormat="1" customHeight="1" spans="1:6">
      <c r="A2892" s="9" t="str">
        <f>"10460109710"</f>
        <v>10460109710</v>
      </c>
      <c r="B2892" s="10">
        <v>45.14</v>
      </c>
      <c r="C2892" s="9"/>
      <c r="D2892" s="9">
        <f t="shared" si="45"/>
        <v>45.14</v>
      </c>
      <c r="E2892" s="11"/>
      <c r="F2892" s="9"/>
    </row>
    <row r="2893" s="1" customFormat="1" customHeight="1" spans="1:6">
      <c r="A2893" s="9" t="str">
        <f>"10450109711"</f>
        <v>10450109711</v>
      </c>
      <c r="B2893" s="10">
        <v>39.8</v>
      </c>
      <c r="C2893" s="9"/>
      <c r="D2893" s="9">
        <f t="shared" si="45"/>
        <v>39.8</v>
      </c>
      <c r="E2893" s="11"/>
      <c r="F2893" s="9"/>
    </row>
    <row r="2894" s="1" customFormat="1" customHeight="1" spans="1:6">
      <c r="A2894" s="9" t="str">
        <f>"10210109712"</f>
        <v>10210109712</v>
      </c>
      <c r="B2894" s="10">
        <v>0</v>
      </c>
      <c r="C2894" s="9"/>
      <c r="D2894" s="9">
        <f t="shared" si="45"/>
        <v>0</v>
      </c>
      <c r="E2894" s="11"/>
      <c r="F2894" s="9" t="s">
        <v>7</v>
      </c>
    </row>
    <row r="2895" s="1" customFormat="1" customHeight="1" spans="1:6">
      <c r="A2895" s="9" t="str">
        <f>"10530109713"</f>
        <v>10530109713</v>
      </c>
      <c r="B2895" s="10">
        <v>39.33</v>
      </c>
      <c r="C2895" s="9"/>
      <c r="D2895" s="9">
        <f t="shared" si="45"/>
        <v>39.33</v>
      </c>
      <c r="E2895" s="11"/>
      <c r="F2895" s="9"/>
    </row>
    <row r="2896" s="1" customFormat="1" customHeight="1" spans="1:6">
      <c r="A2896" s="9" t="str">
        <f>"10150109714"</f>
        <v>10150109714</v>
      </c>
      <c r="B2896" s="10">
        <v>0</v>
      </c>
      <c r="C2896" s="9"/>
      <c r="D2896" s="9">
        <f t="shared" si="45"/>
        <v>0</v>
      </c>
      <c r="E2896" s="11"/>
      <c r="F2896" s="9" t="s">
        <v>7</v>
      </c>
    </row>
    <row r="2897" s="1" customFormat="1" customHeight="1" spans="1:6">
      <c r="A2897" s="9" t="str">
        <f>"10240109715"</f>
        <v>10240109715</v>
      </c>
      <c r="B2897" s="10">
        <v>36.02</v>
      </c>
      <c r="C2897" s="9"/>
      <c r="D2897" s="9">
        <f t="shared" si="45"/>
        <v>36.02</v>
      </c>
      <c r="E2897" s="11"/>
      <c r="F2897" s="9"/>
    </row>
    <row r="2898" s="1" customFormat="1" customHeight="1" spans="1:6">
      <c r="A2898" s="9" t="str">
        <f>"10360109716"</f>
        <v>10360109716</v>
      </c>
      <c r="B2898" s="10">
        <v>0</v>
      </c>
      <c r="C2898" s="9">
        <v>10</v>
      </c>
      <c r="D2898" s="9">
        <f t="shared" si="45"/>
        <v>10</v>
      </c>
      <c r="E2898" s="12" t="s">
        <v>8</v>
      </c>
      <c r="F2898" s="9" t="s">
        <v>7</v>
      </c>
    </row>
    <row r="2899" s="1" customFormat="1" customHeight="1" spans="1:6">
      <c r="A2899" s="9" t="str">
        <f>"10230109717"</f>
        <v>10230109717</v>
      </c>
      <c r="B2899" s="10">
        <v>0</v>
      </c>
      <c r="C2899" s="9"/>
      <c r="D2899" s="9">
        <f t="shared" si="45"/>
        <v>0</v>
      </c>
      <c r="E2899" s="11"/>
      <c r="F2899" s="9" t="s">
        <v>7</v>
      </c>
    </row>
    <row r="2900" s="1" customFormat="1" customHeight="1" spans="1:6">
      <c r="A2900" s="9" t="str">
        <f>"10210109718"</f>
        <v>10210109718</v>
      </c>
      <c r="B2900" s="10">
        <v>35.04</v>
      </c>
      <c r="C2900" s="9"/>
      <c r="D2900" s="9">
        <f t="shared" si="45"/>
        <v>35.04</v>
      </c>
      <c r="E2900" s="11"/>
      <c r="F2900" s="9"/>
    </row>
    <row r="2901" s="1" customFormat="1" customHeight="1" spans="1:6">
      <c r="A2901" s="9" t="str">
        <f>"10210109719"</f>
        <v>10210109719</v>
      </c>
      <c r="B2901" s="10">
        <v>39.59</v>
      </c>
      <c r="C2901" s="9"/>
      <c r="D2901" s="9">
        <f t="shared" si="45"/>
        <v>39.59</v>
      </c>
      <c r="E2901" s="11"/>
      <c r="F2901" s="9"/>
    </row>
    <row r="2902" s="1" customFormat="1" customHeight="1" spans="1:6">
      <c r="A2902" s="9" t="str">
        <f>"10080109720"</f>
        <v>10080109720</v>
      </c>
      <c r="B2902" s="10">
        <v>40.27</v>
      </c>
      <c r="C2902" s="9"/>
      <c r="D2902" s="9">
        <f t="shared" si="45"/>
        <v>40.27</v>
      </c>
      <c r="E2902" s="11"/>
      <c r="F2902" s="9"/>
    </row>
    <row r="2903" s="1" customFormat="1" customHeight="1" spans="1:6">
      <c r="A2903" s="9" t="str">
        <f>"10440109721"</f>
        <v>10440109721</v>
      </c>
      <c r="B2903" s="10">
        <v>41.75</v>
      </c>
      <c r="C2903" s="9"/>
      <c r="D2903" s="9">
        <f t="shared" si="45"/>
        <v>41.75</v>
      </c>
      <c r="E2903" s="11"/>
      <c r="F2903" s="9"/>
    </row>
    <row r="2904" s="1" customFormat="1" customHeight="1" spans="1:6">
      <c r="A2904" s="9" t="str">
        <f>"10530109722"</f>
        <v>10530109722</v>
      </c>
      <c r="B2904" s="10">
        <v>0</v>
      </c>
      <c r="C2904" s="9"/>
      <c r="D2904" s="9">
        <f t="shared" si="45"/>
        <v>0</v>
      </c>
      <c r="E2904" s="11"/>
      <c r="F2904" s="9" t="s">
        <v>7</v>
      </c>
    </row>
    <row r="2905" s="1" customFormat="1" customHeight="1" spans="1:6">
      <c r="A2905" s="9" t="str">
        <f>"10440109723"</f>
        <v>10440109723</v>
      </c>
      <c r="B2905" s="10">
        <v>43.07</v>
      </c>
      <c r="C2905" s="9"/>
      <c r="D2905" s="9">
        <f t="shared" si="45"/>
        <v>43.07</v>
      </c>
      <c r="E2905" s="11"/>
      <c r="F2905" s="9"/>
    </row>
    <row r="2906" s="1" customFormat="1" customHeight="1" spans="1:6">
      <c r="A2906" s="9" t="str">
        <f>"10180109724"</f>
        <v>10180109724</v>
      </c>
      <c r="B2906" s="10">
        <v>31.77</v>
      </c>
      <c r="C2906" s="9"/>
      <c r="D2906" s="9">
        <f t="shared" si="45"/>
        <v>31.77</v>
      </c>
      <c r="E2906" s="11"/>
      <c r="F2906" s="9"/>
    </row>
    <row r="2907" s="1" customFormat="1" customHeight="1" spans="1:6">
      <c r="A2907" s="9" t="str">
        <f>"10010109725"</f>
        <v>10010109725</v>
      </c>
      <c r="B2907" s="10">
        <v>38.4</v>
      </c>
      <c r="C2907" s="9"/>
      <c r="D2907" s="9">
        <f t="shared" si="45"/>
        <v>38.4</v>
      </c>
      <c r="E2907" s="11"/>
      <c r="F2907" s="9"/>
    </row>
    <row r="2908" s="1" customFormat="1" customHeight="1" spans="1:6">
      <c r="A2908" s="9" t="str">
        <f>"10360109726"</f>
        <v>10360109726</v>
      </c>
      <c r="B2908" s="10">
        <v>0</v>
      </c>
      <c r="C2908" s="9"/>
      <c r="D2908" s="9">
        <f t="shared" si="45"/>
        <v>0</v>
      </c>
      <c r="E2908" s="11"/>
      <c r="F2908" s="9" t="s">
        <v>7</v>
      </c>
    </row>
    <row r="2909" s="1" customFormat="1" customHeight="1" spans="1:6">
      <c r="A2909" s="9" t="str">
        <f>"10090109727"</f>
        <v>10090109727</v>
      </c>
      <c r="B2909" s="10">
        <v>42.71</v>
      </c>
      <c r="C2909" s="9"/>
      <c r="D2909" s="9">
        <f t="shared" si="45"/>
        <v>42.71</v>
      </c>
      <c r="E2909" s="11"/>
      <c r="F2909" s="9"/>
    </row>
    <row r="2910" s="1" customFormat="1" customHeight="1" spans="1:6">
      <c r="A2910" s="9" t="str">
        <f>"20270109728"</f>
        <v>20270109728</v>
      </c>
      <c r="B2910" s="10">
        <v>0</v>
      </c>
      <c r="C2910" s="9"/>
      <c r="D2910" s="9">
        <f t="shared" si="45"/>
        <v>0</v>
      </c>
      <c r="E2910" s="11"/>
      <c r="F2910" s="9" t="s">
        <v>7</v>
      </c>
    </row>
    <row r="2911" s="1" customFormat="1" customHeight="1" spans="1:6">
      <c r="A2911" s="9" t="str">
        <f>"10380109729"</f>
        <v>10380109729</v>
      </c>
      <c r="B2911" s="10">
        <v>0</v>
      </c>
      <c r="C2911" s="9"/>
      <c r="D2911" s="9">
        <f t="shared" si="45"/>
        <v>0</v>
      </c>
      <c r="E2911" s="11"/>
      <c r="F2911" s="9" t="s">
        <v>7</v>
      </c>
    </row>
    <row r="2912" s="1" customFormat="1" customHeight="1" spans="1:6">
      <c r="A2912" s="9" t="str">
        <f>"10060109730"</f>
        <v>10060109730</v>
      </c>
      <c r="B2912" s="10">
        <v>0</v>
      </c>
      <c r="C2912" s="9"/>
      <c r="D2912" s="9">
        <f t="shared" si="45"/>
        <v>0</v>
      </c>
      <c r="E2912" s="11"/>
      <c r="F2912" s="9" t="s">
        <v>7</v>
      </c>
    </row>
    <row r="2913" s="1" customFormat="1" customHeight="1" spans="1:6">
      <c r="A2913" s="9" t="str">
        <f>"10100109801"</f>
        <v>10100109801</v>
      </c>
      <c r="B2913" s="10">
        <v>0</v>
      </c>
      <c r="C2913" s="9"/>
      <c r="D2913" s="9">
        <f t="shared" si="45"/>
        <v>0</v>
      </c>
      <c r="E2913" s="11"/>
      <c r="F2913" s="9" t="s">
        <v>7</v>
      </c>
    </row>
    <row r="2914" s="1" customFormat="1" customHeight="1" spans="1:6">
      <c r="A2914" s="9" t="str">
        <f>"10440109802"</f>
        <v>10440109802</v>
      </c>
      <c r="B2914" s="10">
        <v>37.65</v>
      </c>
      <c r="C2914" s="9"/>
      <c r="D2914" s="9">
        <f t="shared" si="45"/>
        <v>37.65</v>
      </c>
      <c r="E2914" s="11"/>
      <c r="F2914" s="9"/>
    </row>
    <row r="2915" s="1" customFormat="1" customHeight="1" spans="1:6">
      <c r="A2915" s="9" t="str">
        <f>"10360109803"</f>
        <v>10360109803</v>
      </c>
      <c r="B2915" s="10">
        <v>34.55</v>
      </c>
      <c r="C2915" s="9"/>
      <c r="D2915" s="9">
        <f t="shared" si="45"/>
        <v>34.55</v>
      </c>
      <c r="E2915" s="11"/>
      <c r="F2915" s="9"/>
    </row>
    <row r="2916" s="1" customFormat="1" customHeight="1" spans="1:6">
      <c r="A2916" s="9" t="str">
        <f>"10360109804"</f>
        <v>10360109804</v>
      </c>
      <c r="B2916" s="10">
        <v>33.61</v>
      </c>
      <c r="C2916" s="9"/>
      <c r="D2916" s="9">
        <f t="shared" si="45"/>
        <v>33.61</v>
      </c>
      <c r="E2916" s="11"/>
      <c r="F2916" s="9"/>
    </row>
    <row r="2917" s="1" customFormat="1" customHeight="1" spans="1:6">
      <c r="A2917" s="9" t="str">
        <f>"10440109805"</f>
        <v>10440109805</v>
      </c>
      <c r="B2917" s="10">
        <v>43.11</v>
      </c>
      <c r="C2917" s="9"/>
      <c r="D2917" s="9">
        <f t="shared" si="45"/>
        <v>43.11</v>
      </c>
      <c r="E2917" s="11"/>
      <c r="F2917" s="9"/>
    </row>
    <row r="2918" s="1" customFormat="1" customHeight="1" spans="1:6">
      <c r="A2918" s="9" t="str">
        <f>"10270109806"</f>
        <v>10270109806</v>
      </c>
      <c r="B2918" s="10">
        <v>0</v>
      </c>
      <c r="C2918" s="9"/>
      <c r="D2918" s="9">
        <f t="shared" si="45"/>
        <v>0</v>
      </c>
      <c r="E2918" s="11"/>
      <c r="F2918" s="9" t="s">
        <v>7</v>
      </c>
    </row>
    <row r="2919" s="1" customFormat="1" customHeight="1" spans="1:6">
      <c r="A2919" s="9" t="str">
        <f>"10150109807"</f>
        <v>10150109807</v>
      </c>
      <c r="B2919" s="10">
        <v>41.16</v>
      </c>
      <c r="C2919" s="9"/>
      <c r="D2919" s="9">
        <f t="shared" si="45"/>
        <v>41.16</v>
      </c>
      <c r="E2919" s="11"/>
      <c r="F2919" s="9"/>
    </row>
    <row r="2920" s="1" customFormat="1" customHeight="1" spans="1:6">
      <c r="A2920" s="9" t="str">
        <f>"10210109808"</f>
        <v>10210109808</v>
      </c>
      <c r="B2920" s="10">
        <v>45.94</v>
      </c>
      <c r="C2920" s="9"/>
      <c r="D2920" s="9">
        <f t="shared" si="45"/>
        <v>45.94</v>
      </c>
      <c r="E2920" s="11"/>
      <c r="F2920" s="9"/>
    </row>
    <row r="2921" s="1" customFormat="1" customHeight="1" spans="1:6">
      <c r="A2921" s="9" t="str">
        <f>"10430109809"</f>
        <v>10430109809</v>
      </c>
      <c r="B2921" s="10">
        <v>0</v>
      </c>
      <c r="C2921" s="9"/>
      <c r="D2921" s="9">
        <f t="shared" si="45"/>
        <v>0</v>
      </c>
      <c r="E2921" s="11"/>
      <c r="F2921" s="9" t="s">
        <v>7</v>
      </c>
    </row>
    <row r="2922" s="1" customFormat="1" customHeight="1" spans="1:6">
      <c r="A2922" s="9" t="str">
        <f>"10360109810"</f>
        <v>10360109810</v>
      </c>
      <c r="B2922" s="10">
        <v>0</v>
      </c>
      <c r="C2922" s="9"/>
      <c r="D2922" s="9">
        <f t="shared" si="45"/>
        <v>0</v>
      </c>
      <c r="E2922" s="11"/>
      <c r="F2922" s="9" t="s">
        <v>7</v>
      </c>
    </row>
    <row r="2923" s="1" customFormat="1" customHeight="1" spans="1:6">
      <c r="A2923" s="9" t="str">
        <f>"10530109811"</f>
        <v>10530109811</v>
      </c>
      <c r="B2923" s="10">
        <v>34.71</v>
      </c>
      <c r="C2923" s="9"/>
      <c r="D2923" s="9">
        <f t="shared" si="45"/>
        <v>34.71</v>
      </c>
      <c r="E2923" s="11"/>
      <c r="F2923" s="9"/>
    </row>
    <row r="2924" s="1" customFormat="1" customHeight="1" spans="1:6">
      <c r="A2924" s="9" t="str">
        <f>"10310109812"</f>
        <v>10310109812</v>
      </c>
      <c r="B2924" s="10">
        <v>38.99</v>
      </c>
      <c r="C2924" s="9"/>
      <c r="D2924" s="9">
        <f t="shared" si="45"/>
        <v>38.99</v>
      </c>
      <c r="E2924" s="11"/>
      <c r="F2924" s="9"/>
    </row>
    <row r="2925" s="1" customFormat="1" customHeight="1" spans="1:6">
      <c r="A2925" s="9" t="str">
        <f>"10360109813"</f>
        <v>10360109813</v>
      </c>
      <c r="B2925" s="10">
        <v>49.73</v>
      </c>
      <c r="C2925" s="9"/>
      <c r="D2925" s="9">
        <f t="shared" si="45"/>
        <v>49.73</v>
      </c>
      <c r="E2925" s="11"/>
      <c r="F2925" s="9"/>
    </row>
    <row r="2926" s="1" customFormat="1" customHeight="1" spans="1:6">
      <c r="A2926" s="9" t="str">
        <f>"10360109814"</f>
        <v>10360109814</v>
      </c>
      <c r="B2926" s="10">
        <v>0</v>
      </c>
      <c r="C2926" s="9"/>
      <c r="D2926" s="9">
        <f t="shared" si="45"/>
        <v>0</v>
      </c>
      <c r="E2926" s="11"/>
      <c r="F2926" s="9" t="s">
        <v>7</v>
      </c>
    </row>
    <row r="2927" s="1" customFormat="1" customHeight="1" spans="1:6">
      <c r="A2927" s="9" t="str">
        <f>"20270109815"</f>
        <v>20270109815</v>
      </c>
      <c r="B2927" s="10">
        <v>45.42</v>
      </c>
      <c r="C2927" s="9"/>
      <c r="D2927" s="9">
        <f t="shared" si="45"/>
        <v>45.42</v>
      </c>
      <c r="E2927" s="11"/>
      <c r="F2927" s="9"/>
    </row>
    <row r="2928" s="1" customFormat="1" customHeight="1" spans="1:6">
      <c r="A2928" s="9" t="str">
        <f>"10360109816"</f>
        <v>10360109816</v>
      </c>
      <c r="B2928" s="10">
        <v>32.32</v>
      </c>
      <c r="C2928" s="9"/>
      <c r="D2928" s="9">
        <f t="shared" si="45"/>
        <v>32.32</v>
      </c>
      <c r="E2928" s="11"/>
      <c r="F2928" s="9"/>
    </row>
    <row r="2929" s="1" customFormat="1" customHeight="1" spans="1:6">
      <c r="A2929" s="9" t="str">
        <f>"10110109817"</f>
        <v>10110109817</v>
      </c>
      <c r="B2929" s="10">
        <v>39.09</v>
      </c>
      <c r="C2929" s="9"/>
      <c r="D2929" s="9">
        <f t="shared" si="45"/>
        <v>39.09</v>
      </c>
      <c r="E2929" s="11"/>
      <c r="F2929" s="9"/>
    </row>
    <row r="2930" s="1" customFormat="1" customHeight="1" spans="1:6">
      <c r="A2930" s="9" t="str">
        <f>"10340109818"</f>
        <v>10340109818</v>
      </c>
      <c r="B2930" s="10">
        <v>40.02</v>
      </c>
      <c r="C2930" s="9"/>
      <c r="D2930" s="9">
        <f t="shared" si="45"/>
        <v>40.02</v>
      </c>
      <c r="E2930" s="11"/>
      <c r="F2930" s="9"/>
    </row>
    <row r="2931" s="1" customFormat="1" customHeight="1" spans="1:6">
      <c r="A2931" s="9" t="str">
        <f>"10170109819"</f>
        <v>10170109819</v>
      </c>
      <c r="B2931" s="10">
        <v>32.3</v>
      </c>
      <c r="C2931" s="9"/>
      <c r="D2931" s="9">
        <f t="shared" si="45"/>
        <v>32.3</v>
      </c>
      <c r="E2931" s="11"/>
      <c r="F2931" s="9"/>
    </row>
    <row r="2932" s="1" customFormat="1" customHeight="1" spans="1:6">
      <c r="A2932" s="9" t="str">
        <f>"10180109820"</f>
        <v>10180109820</v>
      </c>
      <c r="B2932" s="10">
        <v>32.97</v>
      </c>
      <c r="C2932" s="9"/>
      <c r="D2932" s="9">
        <f t="shared" si="45"/>
        <v>32.97</v>
      </c>
      <c r="E2932" s="11"/>
      <c r="F2932" s="9"/>
    </row>
    <row r="2933" s="1" customFormat="1" customHeight="1" spans="1:6">
      <c r="A2933" s="9" t="str">
        <f>"10180109821"</f>
        <v>10180109821</v>
      </c>
      <c r="B2933" s="10">
        <v>36.34</v>
      </c>
      <c r="C2933" s="9"/>
      <c r="D2933" s="9">
        <f t="shared" si="45"/>
        <v>36.34</v>
      </c>
      <c r="E2933" s="11"/>
      <c r="F2933" s="9"/>
    </row>
    <row r="2934" s="1" customFormat="1" customHeight="1" spans="1:6">
      <c r="A2934" s="9" t="str">
        <f>"10360109822"</f>
        <v>10360109822</v>
      </c>
      <c r="B2934" s="10">
        <v>0</v>
      </c>
      <c r="C2934" s="9"/>
      <c r="D2934" s="9">
        <f t="shared" si="45"/>
        <v>0</v>
      </c>
      <c r="E2934" s="11"/>
      <c r="F2934" s="9" t="s">
        <v>7</v>
      </c>
    </row>
    <row r="2935" s="1" customFormat="1" customHeight="1" spans="1:6">
      <c r="A2935" s="9" t="str">
        <f>"10360109823"</f>
        <v>10360109823</v>
      </c>
      <c r="B2935" s="10">
        <v>38.42</v>
      </c>
      <c r="C2935" s="9"/>
      <c r="D2935" s="9">
        <f t="shared" si="45"/>
        <v>38.42</v>
      </c>
      <c r="E2935" s="11"/>
      <c r="F2935" s="9"/>
    </row>
    <row r="2936" s="1" customFormat="1" customHeight="1" spans="1:6">
      <c r="A2936" s="9" t="str">
        <f>"10360109824"</f>
        <v>10360109824</v>
      </c>
      <c r="B2936" s="10">
        <v>37.97</v>
      </c>
      <c r="C2936" s="9"/>
      <c r="D2936" s="9">
        <f t="shared" si="45"/>
        <v>37.97</v>
      </c>
      <c r="E2936" s="11"/>
      <c r="F2936" s="9"/>
    </row>
    <row r="2937" s="1" customFormat="1" customHeight="1" spans="1:6">
      <c r="A2937" s="9" t="str">
        <f>"10400109825"</f>
        <v>10400109825</v>
      </c>
      <c r="B2937" s="10">
        <v>33.43</v>
      </c>
      <c r="C2937" s="9"/>
      <c r="D2937" s="9">
        <f t="shared" si="45"/>
        <v>33.43</v>
      </c>
      <c r="E2937" s="11"/>
      <c r="F2937" s="9"/>
    </row>
    <row r="2938" s="1" customFormat="1" customHeight="1" spans="1:6">
      <c r="A2938" s="9" t="str">
        <f>"10170109826"</f>
        <v>10170109826</v>
      </c>
      <c r="B2938" s="10">
        <v>37.88</v>
      </c>
      <c r="C2938" s="9">
        <v>10</v>
      </c>
      <c r="D2938" s="9">
        <f t="shared" si="45"/>
        <v>47.88</v>
      </c>
      <c r="E2938" s="12" t="s">
        <v>8</v>
      </c>
      <c r="F2938" s="9"/>
    </row>
    <row r="2939" s="1" customFormat="1" customHeight="1" spans="1:6">
      <c r="A2939" s="9" t="str">
        <f>"10360109827"</f>
        <v>10360109827</v>
      </c>
      <c r="B2939" s="10">
        <v>0</v>
      </c>
      <c r="C2939" s="9"/>
      <c r="D2939" s="9">
        <f t="shared" si="45"/>
        <v>0</v>
      </c>
      <c r="E2939" s="11"/>
      <c r="F2939" s="9" t="s">
        <v>7</v>
      </c>
    </row>
    <row r="2940" s="1" customFormat="1" customHeight="1" spans="1:6">
      <c r="A2940" s="9" t="str">
        <f>"10130109828"</f>
        <v>10130109828</v>
      </c>
      <c r="B2940" s="10">
        <v>38.87</v>
      </c>
      <c r="C2940" s="9"/>
      <c r="D2940" s="9">
        <f t="shared" si="45"/>
        <v>38.87</v>
      </c>
      <c r="E2940" s="11"/>
      <c r="F2940" s="9"/>
    </row>
    <row r="2941" s="1" customFormat="1" customHeight="1" spans="1:6">
      <c r="A2941" s="9" t="str">
        <f>"10360109829"</f>
        <v>10360109829</v>
      </c>
      <c r="B2941" s="10">
        <v>40.07</v>
      </c>
      <c r="C2941" s="9"/>
      <c r="D2941" s="9">
        <f t="shared" si="45"/>
        <v>40.07</v>
      </c>
      <c r="E2941" s="11"/>
      <c r="F2941" s="9"/>
    </row>
    <row r="2942" s="1" customFormat="1" customHeight="1" spans="1:6">
      <c r="A2942" s="9" t="str">
        <f>"10210109830"</f>
        <v>10210109830</v>
      </c>
      <c r="B2942" s="10">
        <v>40.13</v>
      </c>
      <c r="C2942" s="9"/>
      <c r="D2942" s="9">
        <f t="shared" si="45"/>
        <v>40.13</v>
      </c>
      <c r="E2942" s="11"/>
      <c r="F2942" s="9"/>
    </row>
    <row r="2943" s="1" customFormat="1" customHeight="1" spans="1:6">
      <c r="A2943" s="9" t="str">
        <f>"10170109901"</f>
        <v>10170109901</v>
      </c>
      <c r="B2943" s="10">
        <v>47.04</v>
      </c>
      <c r="C2943" s="9"/>
      <c r="D2943" s="9">
        <f t="shared" si="45"/>
        <v>47.04</v>
      </c>
      <c r="E2943" s="11"/>
      <c r="F2943" s="9"/>
    </row>
    <row r="2944" s="1" customFormat="1" customHeight="1" spans="1:6">
      <c r="A2944" s="9" t="str">
        <f>"10340109902"</f>
        <v>10340109902</v>
      </c>
      <c r="B2944" s="10">
        <v>32.35</v>
      </c>
      <c r="C2944" s="9"/>
      <c r="D2944" s="9">
        <f t="shared" si="45"/>
        <v>32.35</v>
      </c>
      <c r="E2944" s="11"/>
      <c r="F2944" s="9"/>
    </row>
    <row r="2945" s="1" customFormat="1" customHeight="1" spans="1:6">
      <c r="A2945" s="9" t="str">
        <f>"10020109903"</f>
        <v>10020109903</v>
      </c>
      <c r="B2945" s="10">
        <v>46.4</v>
      </c>
      <c r="C2945" s="9"/>
      <c r="D2945" s="9">
        <f t="shared" si="45"/>
        <v>46.4</v>
      </c>
      <c r="E2945" s="11"/>
      <c r="F2945" s="9"/>
    </row>
    <row r="2946" s="1" customFormat="1" customHeight="1" spans="1:6">
      <c r="A2946" s="9" t="str">
        <f>"10510109904"</f>
        <v>10510109904</v>
      </c>
      <c r="B2946" s="10">
        <v>37.71</v>
      </c>
      <c r="C2946" s="9"/>
      <c r="D2946" s="9">
        <f t="shared" si="45"/>
        <v>37.71</v>
      </c>
      <c r="E2946" s="11"/>
      <c r="F2946" s="9"/>
    </row>
    <row r="2947" s="1" customFormat="1" customHeight="1" spans="1:6">
      <c r="A2947" s="9" t="str">
        <f>"10090109905"</f>
        <v>10090109905</v>
      </c>
      <c r="B2947" s="10">
        <v>0</v>
      </c>
      <c r="C2947" s="9"/>
      <c r="D2947" s="9">
        <f t="shared" ref="D2947:D3010" si="46">SUM(B2947:C2947)</f>
        <v>0</v>
      </c>
      <c r="E2947" s="11"/>
      <c r="F2947" s="9" t="s">
        <v>7</v>
      </c>
    </row>
    <row r="2948" s="1" customFormat="1" customHeight="1" spans="1:6">
      <c r="A2948" s="9" t="str">
        <f>"10530109906"</f>
        <v>10530109906</v>
      </c>
      <c r="B2948" s="10">
        <v>0</v>
      </c>
      <c r="C2948" s="9"/>
      <c r="D2948" s="9">
        <f t="shared" si="46"/>
        <v>0</v>
      </c>
      <c r="E2948" s="11"/>
      <c r="F2948" s="9" t="s">
        <v>7</v>
      </c>
    </row>
    <row r="2949" s="1" customFormat="1" customHeight="1" spans="1:6">
      <c r="A2949" s="9" t="str">
        <f>"20270109907"</f>
        <v>20270109907</v>
      </c>
      <c r="B2949" s="10">
        <v>47.81</v>
      </c>
      <c r="C2949" s="9"/>
      <c r="D2949" s="9">
        <f t="shared" si="46"/>
        <v>47.81</v>
      </c>
      <c r="E2949" s="11"/>
      <c r="F2949" s="9"/>
    </row>
    <row r="2950" s="1" customFormat="1" customHeight="1" spans="1:6">
      <c r="A2950" s="9" t="str">
        <f>"10290109908"</f>
        <v>10290109908</v>
      </c>
      <c r="B2950" s="10">
        <v>33.02</v>
      </c>
      <c r="C2950" s="9"/>
      <c r="D2950" s="9">
        <f t="shared" si="46"/>
        <v>33.02</v>
      </c>
      <c r="E2950" s="11"/>
      <c r="F2950" s="9"/>
    </row>
    <row r="2951" s="1" customFormat="1" customHeight="1" spans="1:6">
      <c r="A2951" s="9" t="str">
        <f>"10360109909"</f>
        <v>10360109909</v>
      </c>
      <c r="B2951" s="10">
        <v>30.85</v>
      </c>
      <c r="C2951" s="9"/>
      <c r="D2951" s="9">
        <f t="shared" si="46"/>
        <v>30.85</v>
      </c>
      <c r="E2951" s="11"/>
      <c r="F2951" s="9"/>
    </row>
    <row r="2952" s="1" customFormat="1" customHeight="1" spans="1:6">
      <c r="A2952" s="9" t="str">
        <f>"10060109910"</f>
        <v>10060109910</v>
      </c>
      <c r="B2952" s="10">
        <v>0</v>
      </c>
      <c r="C2952" s="9"/>
      <c r="D2952" s="9">
        <f t="shared" si="46"/>
        <v>0</v>
      </c>
      <c r="E2952" s="11"/>
      <c r="F2952" s="9" t="s">
        <v>7</v>
      </c>
    </row>
    <row r="2953" s="1" customFormat="1" customHeight="1" spans="1:6">
      <c r="A2953" s="9" t="str">
        <f>"10450109911"</f>
        <v>10450109911</v>
      </c>
      <c r="B2953" s="10">
        <v>34.76</v>
      </c>
      <c r="C2953" s="9"/>
      <c r="D2953" s="9">
        <f t="shared" si="46"/>
        <v>34.76</v>
      </c>
      <c r="E2953" s="11"/>
      <c r="F2953" s="9"/>
    </row>
    <row r="2954" s="1" customFormat="1" customHeight="1" spans="1:6">
      <c r="A2954" s="9" t="str">
        <f>"10360109912"</f>
        <v>10360109912</v>
      </c>
      <c r="B2954" s="10">
        <v>35.84</v>
      </c>
      <c r="C2954" s="9"/>
      <c r="D2954" s="9">
        <f t="shared" si="46"/>
        <v>35.84</v>
      </c>
      <c r="E2954" s="11"/>
      <c r="F2954" s="9"/>
    </row>
    <row r="2955" s="1" customFormat="1" customHeight="1" spans="1:6">
      <c r="A2955" s="9" t="str">
        <f>"10360109913"</f>
        <v>10360109913</v>
      </c>
      <c r="B2955" s="10">
        <v>42.57</v>
      </c>
      <c r="C2955" s="9"/>
      <c r="D2955" s="9">
        <f t="shared" si="46"/>
        <v>42.57</v>
      </c>
      <c r="E2955" s="11"/>
      <c r="F2955" s="9"/>
    </row>
    <row r="2956" s="1" customFormat="1" customHeight="1" spans="1:6">
      <c r="A2956" s="9" t="str">
        <f>"10280109914"</f>
        <v>10280109914</v>
      </c>
      <c r="B2956" s="10">
        <v>47.81</v>
      </c>
      <c r="C2956" s="9"/>
      <c r="D2956" s="9">
        <f t="shared" si="46"/>
        <v>47.81</v>
      </c>
      <c r="E2956" s="11"/>
      <c r="F2956" s="9"/>
    </row>
    <row r="2957" s="1" customFormat="1" customHeight="1" spans="1:6">
      <c r="A2957" s="9" t="str">
        <f>"10180109915"</f>
        <v>10180109915</v>
      </c>
      <c r="B2957" s="10">
        <v>0</v>
      </c>
      <c r="C2957" s="9"/>
      <c r="D2957" s="9">
        <f t="shared" si="46"/>
        <v>0</v>
      </c>
      <c r="E2957" s="11"/>
      <c r="F2957" s="9" t="s">
        <v>7</v>
      </c>
    </row>
    <row r="2958" s="1" customFormat="1" customHeight="1" spans="1:6">
      <c r="A2958" s="9" t="str">
        <f>"10360109916"</f>
        <v>10360109916</v>
      </c>
      <c r="B2958" s="10">
        <v>43.19</v>
      </c>
      <c r="C2958" s="9"/>
      <c r="D2958" s="9">
        <f t="shared" si="46"/>
        <v>43.19</v>
      </c>
      <c r="E2958" s="11"/>
      <c r="F2958" s="9"/>
    </row>
    <row r="2959" s="1" customFormat="1" customHeight="1" spans="1:6">
      <c r="A2959" s="9" t="str">
        <f>"10140109917"</f>
        <v>10140109917</v>
      </c>
      <c r="B2959" s="10">
        <v>38.12</v>
      </c>
      <c r="C2959" s="9"/>
      <c r="D2959" s="9">
        <f t="shared" si="46"/>
        <v>38.12</v>
      </c>
      <c r="E2959" s="11"/>
      <c r="F2959" s="9"/>
    </row>
    <row r="2960" s="1" customFormat="1" customHeight="1" spans="1:6">
      <c r="A2960" s="9" t="str">
        <f>"10300109918"</f>
        <v>10300109918</v>
      </c>
      <c r="B2960" s="10">
        <v>40.07</v>
      </c>
      <c r="C2960" s="9"/>
      <c r="D2960" s="9">
        <f t="shared" si="46"/>
        <v>40.07</v>
      </c>
      <c r="E2960" s="11"/>
      <c r="F2960" s="9"/>
    </row>
    <row r="2961" s="1" customFormat="1" customHeight="1" spans="1:6">
      <c r="A2961" s="9" t="str">
        <f>"10240109919"</f>
        <v>10240109919</v>
      </c>
      <c r="B2961" s="10">
        <v>40.81</v>
      </c>
      <c r="C2961" s="9"/>
      <c r="D2961" s="9">
        <f t="shared" si="46"/>
        <v>40.81</v>
      </c>
      <c r="E2961" s="11"/>
      <c r="F2961" s="9"/>
    </row>
    <row r="2962" s="1" customFormat="1" customHeight="1" spans="1:6">
      <c r="A2962" s="9" t="str">
        <f>"10360109920"</f>
        <v>10360109920</v>
      </c>
      <c r="B2962" s="10">
        <v>0</v>
      </c>
      <c r="C2962" s="9"/>
      <c r="D2962" s="9">
        <f t="shared" si="46"/>
        <v>0</v>
      </c>
      <c r="E2962" s="11"/>
      <c r="F2962" s="9" t="s">
        <v>7</v>
      </c>
    </row>
    <row r="2963" s="1" customFormat="1" customHeight="1" spans="1:6">
      <c r="A2963" s="9" t="str">
        <f>"10440109921"</f>
        <v>10440109921</v>
      </c>
      <c r="B2963" s="10">
        <v>36.87</v>
      </c>
      <c r="C2963" s="9"/>
      <c r="D2963" s="9">
        <f t="shared" si="46"/>
        <v>36.87</v>
      </c>
      <c r="E2963" s="11"/>
      <c r="F2963" s="9"/>
    </row>
    <row r="2964" s="1" customFormat="1" customHeight="1" spans="1:6">
      <c r="A2964" s="9" t="str">
        <f>"10510109922"</f>
        <v>10510109922</v>
      </c>
      <c r="B2964" s="10">
        <v>0</v>
      </c>
      <c r="C2964" s="9"/>
      <c r="D2964" s="9">
        <f t="shared" si="46"/>
        <v>0</v>
      </c>
      <c r="E2964" s="11"/>
      <c r="F2964" s="9" t="s">
        <v>7</v>
      </c>
    </row>
    <row r="2965" s="1" customFormat="1" customHeight="1" spans="1:6">
      <c r="A2965" s="9" t="str">
        <f>"10360109923"</f>
        <v>10360109923</v>
      </c>
      <c r="B2965" s="10">
        <v>0</v>
      </c>
      <c r="C2965" s="9"/>
      <c r="D2965" s="9">
        <f t="shared" si="46"/>
        <v>0</v>
      </c>
      <c r="E2965" s="11"/>
      <c r="F2965" s="9" t="s">
        <v>7</v>
      </c>
    </row>
    <row r="2966" s="1" customFormat="1" customHeight="1" spans="1:6">
      <c r="A2966" s="9" t="str">
        <f>"10110109924"</f>
        <v>10110109924</v>
      </c>
      <c r="B2966" s="10">
        <v>36.68</v>
      </c>
      <c r="C2966" s="9"/>
      <c r="D2966" s="9">
        <f t="shared" si="46"/>
        <v>36.68</v>
      </c>
      <c r="E2966" s="11"/>
      <c r="F2966" s="9"/>
    </row>
    <row r="2967" s="1" customFormat="1" customHeight="1" spans="1:6">
      <c r="A2967" s="9" t="str">
        <f>"10240109925"</f>
        <v>10240109925</v>
      </c>
      <c r="B2967" s="10">
        <v>36.35</v>
      </c>
      <c r="C2967" s="9"/>
      <c r="D2967" s="9">
        <f t="shared" si="46"/>
        <v>36.35</v>
      </c>
      <c r="E2967" s="11"/>
      <c r="F2967" s="9"/>
    </row>
    <row r="2968" s="1" customFormat="1" customHeight="1" spans="1:6">
      <c r="A2968" s="9" t="str">
        <f>"10330109926"</f>
        <v>10330109926</v>
      </c>
      <c r="B2968" s="10">
        <v>47.49</v>
      </c>
      <c r="C2968" s="9"/>
      <c r="D2968" s="9">
        <f t="shared" si="46"/>
        <v>47.49</v>
      </c>
      <c r="E2968" s="11"/>
      <c r="F2968" s="9"/>
    </row>
    <row r="2969" s="1" customFormat="1" customHeight="1" spans="1:6">
      <c r="A2969" s="9" t="str">
        <f>"10360109927"</f>
        <v>10360109927</v>
      </c>
      <c r="B2969" s="10">
        <v>31.86</v>
      </c>
      <c r="C2969" s="9"/>
      <c r="D2969" s="9">
        <f t="shared" si="46"/>
        <v>31.86</v>
      </c>
      <c r="E2969" s="11"/>
      <c r="F2969" s="9"/>
    </row>
    <row r="2970" s="1" customFormat="1" customHeight="1" spans="1:6">
      <c r="A2970" s="9" t="str">
        <f>"10360109928"</f>
        <v>10360109928</v>
      </c>
      <c r="B2970" s="10">
        <v>0</v>
      </c>
      <c r="C2970" s="9"/>
      <c r="D2970" s="9">
        <f t="shared" si="46"/>
        <v>0</v>
      </c>
      <c r="E2970" s="11"/>
      <c r="F2970" s="9" t="s">
        <v>7</v>
      </c>
    </row>
    <row r="2971" s="1" customFormat="1" customHeight="1" spans="1:6">
      <c r="A2971" s="9" t="str">
        <f>"10040109929"</f>
        <v>10040109929</v>
      </c>
      <c r="B2971" s="10">
        <v>36.24</v>
      </c>
      <c r="C2971" s="9"/>
      <c r="D2971" s="9">
        <f t="shared" si="46"/>
        <v>36.24</v>
      </c>
      <c r="E2971" s="11"/>
      <c r="F2971" s="9"/>
    </row>
    <row r="2972" s="1" customFormat="1" customHeight="1" spans="1:6">
      <c r="A2972" s="9" t="str">
        <f>"10360109930"</f>
        <v>10360109930</v>
      </c>
      <c r="B2972" s="10">
        <v>44.2</v>
      </c>
      <c r="C2972" s="9"/>
      <c r="D2972" s="9">
        <f t="shared" si="46"/>
        <v>44.2</v>
      </c>
      <c r="E2972" s="11"/>
      <c r="F2972" s="9"/>
    </row>
    <row r="2973" s="1" customFormat="1" customHeight="1" spans="1:6">
      <c r="A2973" s="9" t="str">
        <f>"10100110001"</f>
        <v>10100110001</v>
      </c>
      <c r="B2973" s="10">
        <v>38.28</v>
      </c>
      <c r="C2973" s="9"/>
      <c r="D2973" s="9">
        <f t="shared" si="46"/>
        <v>38.28</v>
      </c>
      <c r="E2973" s="11"/>
      <c r="F2973" s="9"/>
    </row>
    <row r="2974" s="1" customFormat="1" customHeight="1" spans="1:6">
      <c r="A2974" s="9" t="str">
        <f>"10230110002"</f>
        <v>10230110002</v>
      </c>
      <c r="B2974" s="10">
        <v>43.25</v>
      </c>
      <c r="C2974" s="9"/>
      <c r="D2974" s="9">
        <f t="shared" si="46"/>
        <v>43.25</v>
      </c>
      <c r="E2974" s="11"/>
      <c r="F2974" s="9"/>
    </row>
    <row r="2975" s="1" customFormat="1" customHeight="1" spans="1:6">
      <c r="A2975" s="9" t="str">
        <f>"10180110003"</f>
        <v>10180110003</v>
      </c>
      <c r="B2975" s="10">
        <v>41.61</v>
      </c>
      <c r="C2975" s="9"/>
      <c r="D2975" s="9">
        <f t="shared" si="46"/>
        <v>41.61</v>
      </c>
      <c r="E2975" s="11"/>
      <c r="F2975" s="9"/>
    </row>
    <row r="2976" s="1" customFormat="1" customHeight="1" spans="1:6">
      <c r="A2976" s="9" t="str">
        <f>"10090110004"</f>
        <v>10090110004</v>
      </c>
      <c r="B2976" s="10">
        <v>0</v>
      </c>
      <c r="C2976" s="9"/>
      <c r="D2976" s="9">
        <f t="shared" si="46"/>
        <v>0</v>
      </c>
      <c r="E2976" s="11"/>
      <c r="F2976" s="9" t="s">
        <v>7</v>
      </c>
    </row>
    <row r="2977" s="1" customFormat="1" customHeight="1" spans="1:6">
      <c r="A2977" s="9" t="str">
        <f>"10360110005"</f>
        <v>10360110005</v>
      </c>
      <c r="B2977" s="10">
        <v>45.63</v>
      </c>
      <c r="C2977" s="9"/>
      <c r="D2977" s="9">
        <f t="shared" si="46"/>
        <v>45.63</v>
      </c>
      <c r="E2977" s="11"/>
      <c r="F2977" s="9"/>
    </row>
    <row r="2978" s="1" customFormat="1" customHeight="1" spans="1:6">
      <c r="A2978" s="9" t="str">
        <f>"10530110006"</f>
        <v>10530110006</v>
      </c>
      <c r="B2978" s="10">
        <v>38.48</v>
      </c>
      <c r="C2978" s="9"/>
      <c r="D2978" s="9">
        <f t="shared" si="46"/>
        <v>38.48</v>
      </c>
      <c r="E2978" s="11"/>
      <c r="F2978" s="9"/>
    </row>
    <row r="2979" s="1" customFormat="1" customHeight="1" spans="1:6">
      <c r="A2979" s="9" t="str">
        <f>"10210110007"</f>
        <v>10210110007</v>
      </c>
      <c r="B2979" s="10">
        <v>0</v>
      </c>
      <c r="C2979" s="9"/>
      <c r="D2979" s="9">
        <f t="shared" si="46"/>
        <v>0</v>
      </c>
      <c r="E2979" s="11"/>
      <c r="F2979" s="9" t="s">
        <v>7</v>
      </c>
    </row>
    <row r="2980" s="1" customFormat="1" customHeight="1" spans="1:6">
      <c r="A2980" s="9" t="str">
        <f>"10440110008"</f>
        <v>10440110008</v>
      </c>
      <c r="B2980" s="10">
        <v>42</v>
      </c>
      <c r="C2980" s="9"/>
      <c r="D2980" s="9">
        <f t="shared" si="46"/>
        <v>42</v>
      </c>
      <c r="E2980" s="11"/>
      <c r="F2980" s="9"/>
    </row>
    <row r="2981" s="1" customFormat="1" customHeight="1" spans="1:6">
      <c r="A2981" s="9" t="str">
        <f>"10530110009"</f>
        <v>10530110009</v>
      </c>
      <c r="B2981" s="10">
        <v>46.74</v>
      </c>
      <c r="C2981" s="9"/>
      <c r="D2981" s="9">
        <f t="shared" si="46"/>
        <v>46.74</v>
      </c>
      <c r="E2981" s="11"/>
      <c r="F2981" s="9"/>
    </row>
    <row r="2982" s="1" customFormat="1" customHeight="1" spans="1:6">
      <c r="A2982" s="9" t="str">
        <f>"10300110010"</f>
        <v>10300110010</v>
      </c>
      <c r="B2982" s="10">
        <v>44.33</v>
      </c>
      <c r="C2982" s="9"/>
      <c r="D2982" s="9">
        <f t="shared" si="46"/>
        <v>44.33</v>
      </c>
      <c r="E2982" s="11"/>
      <c r="F2982" s="9"/>
    </row>
    <row r="2983" s="1" customFormat="1" customHeight="1" spans="1:6">
      <c r="A2983" s="9" t="str">
        <f>"10130110011"</f>
        <v>10130110011</v>
      </c>
      <c r="B2983" s="10">
        <v>41.83</v>
      </c>
      <c r="C2983" s="9"/>
      <c r="D2983" s="9">
        <f t="shared" si="46"/>
        <v>41.83</v>
      </c>
      <c r="E2983" s="11"/>
      <c r="F2983" s="9"/>
    </row>
    <row r="2984" s="1" customFormat="1" customHeight="1" spans="1:6">
      <c r="A2984" s="9" t="str">
        <f>"10500110012"</f>
        <v>10500110012</v>
      </c>
      <c r="B2984" s="10">
        <v>35.81</v>
      </c>
      <c r="C2984" s="9"/>
      <c r="D2984" s="9">
        <f t="shared" si="46"/>
        <v>35.81</v>
      </c>
      <c r="E2984" s="11"/>
      <c r="F2984" s="9"/>
    </row>
    <row r="2985" s="1" customFormat="1" customHeight="1" spans="1:6">
      <c r="A2985" s="9" t="str">
        <f>"10360110013"</f>
        <v>10360110013</v>
      </c>
      <c r="B2985" s="10">
        <v>0</v>
      </c>
      <c r="C2985" s="9"/>
      <c r="D2985" s="9">
        <f t="shared" si="46"/>
        <v>0</v>
      </c>
      <c r="E2985" s="11"/>
      <c r="F2985" s="9" t="s">
        <v>7</v>
      </c>
    </row>
    <row r="2986" s="1" customFormat="1" customHeight="1" spans="1:6">
      <c r="A2986" s="9" t="str">
        <f>"10230110014"</f>
        <v>10230110014</v>
      </c>
      <c r="B2986" s="10">
        <v>0</v>
      </c>
      <c r="C2986" s="9"/>
      <c r="D2986" s="9">
        <f t="shared" si="46"/>
        <v>0</v>
      </c>
      <c r="E2986" s="11"/>
      <c r="F2986" s="9" t="s">
        <v>7</v>
      </c>
    </row>
    <row r="2987" s="1" customFormat="1" customHeight="1" spans="1:6">
      <c r="A2987" s="9" t="str">
        <f>"10060110015"</f>
        <v>10060110015</v>
      </c>
      <c r="B2987" s="10">
        <v>0</v>
      </c>
      <c r="C2987" s="9"/>
      <c r="D2987" s="9">
        <f t="shared" si="46"/>
        <v>0</v>
      </c>
      <c r="E2987" s="11"/>
      <c r="F2987" s="9" t="s">
        <v>7</v>
      </c>
    </row>
    <row r="2988" s="1" customFormat="1" customHeight="1" spans="1:6">
      <c r="A2988" s="9" t="str">
        <f>"10360110016"</f>
        <v>10360110016</v>
      </c>
      <c r="B2988" s="10">
        <v>34.97</v>
      </c>
      <c r="C2988" s="9"/>
      <c r="D2988" s="9">
        <f t="shared" si="46"/>
        <v>34.97</v>
      </c>
      <c r="E2988" s="11"/>
      <c r="F2988" s="9"/>
    </row>
    <row r="2989" s="1" customFormat="1" customHeight="1" spans="1:6">
      <c r="A2989" s="9" t="str">
        <f>"10530110017"</f>
        <v>10530110017</v>
      </c>
      <c r="B2989" s="10">
        <v>46.47</v>
      </c>
      <c r="C2989" s="9"/>
      <c r="D2989" s="9">
        <f t="shared" si="46"/>
        <v>46.47</v>
      </c>
      <c r="E2989" s="11"/>
      <c r="F2989" s="9"/>
    </row>
    <row r="2990" s="1" customFormat="1" customHeight="1" spans="1:6">
      <c r="A2990" s="9" t="str">
        <f>"10180110018"</f>
        <v>10180110018</v>
      </c>
      <c r="B2990" s="10">
        <v>37.18</v>
      </c>
      <c r="C2990" s="9"/>
      <c r="D2990" s="9">
        <f t="shared" si="46"/>
        <v>37.18</v>
      </c>
      <c r="E2990" s="11"/>
      <c r="F2990" s="9"/>
    </row>
    <row r="2991" s="1" customFormat="1" customHeight="1" spans="1:6">
      <c r="A2991" s="9" t="str">
        <f>"10360110019"</f>
        <v>10360110019</v>
      </c>
      <c r="B2991" s="10">
        <v>32.07</v>
      </c>
      <c r="C2991" s="9"/>
      <c r="D2991" s="9">
        <f t="shared" si="46"/>
        <v>32.07</v>
      </c>
      <c r="E2991" s="11"/>
      <c r="F2991" s="9"/>
    </row>
    <row r="2992" s="1" customFormat="1" customHeight="1" spans="1:6">
      <c r="A2992" s="9" t="str">
        <f>"10160110020"</f>
        <v>10160110020</v>
      </c>
      <c r="B2992" s="10">
        <v>36.17</v>
      </c>
      <c r="C2992" s="9"/>
      <c r="D2992" s="9">
        <f t="shared" si="46"/>
        <v>36.17</v>
      </c>
      <c r="E2992" s="11"/>
      <c r="F2992" s="9"/>
    </row>
    <row r="2993" s="1" customFormat="1" customHeight="1" spans="1:6">
      <c r="A2993" s="9" t="str">
        <f>"10520110021"</f>
        <v>10520110021</v>
      </c>
      <c r="B2993" s="10">
        <v>39.58</v>
      </c>
      <c r="C2993" s="9"/>
      <c r="D2993" s="9">
        <f t="shared" si="46"/>
        <v>39.58</v>
      </c>
      <c r="E2993" s="11"/>
      <c r="F2993" s="9"/>
    </row>
    <row r="2994" s="1" customFormat="1" customHeight="1" spans="1:6">
      <c r="A2994" s="9" t="str">
        <f>"10370110022"</f>
        <v>10370110022</v>
      </c>
      <c r="B2994" s="10">
        <v>49.65</v>
      </c>
      <c r="C2994" s="9"/>
      <c r="D2994" s="9">
        <f t="shared" si="46"/>
        <v>49.65</v>
      </c>
      <c r="E2994" s="11"/>
      <c r="F2994" s="9"/>
    </row>
    <row r="2995" s="1" customFormat="1" customHeight="1" spans="1:6">
      <c r="A2995" s="9" t="str">
        <f>"10130110023"</f>
        <v>10130110023</v>
      </c>
      <c r="B2995" s="10">
        <v>48.56</v>
      </c>
      <c r="C2995" s="9"/>
      <c r="D2995" s="9">
        <f t="shared" si="46"/>
        <v>48.56</v>
      </c>
      <c r="E2995" s="11"/>
      <c r="F2995" s="9"/>
    </row>
    <row r="2996" s="1" customFormat="1" customHeight="1" spans="1:6">
      <c r="A2996" s="9" t="str">
        <f>"10190110024"</f>
        <v>10190110024</v>
      </c>
      <c r="B2996" s="10">
        <v>44.07</v>
      </c>
      <c r="C2996" s="9"/>
      <c r="D2996" s="9">
        <f t="shared" si="46"/>
        <v>44.07</v>
      </c>
      <c r="E2996" s="11"/>
      <c r="F2996" s="9"/>
    </row>
    <row r="2997" s="1" customFormat="1" customHeight="1" spans="1:6">
      <c r="A2997" s="9" t="str">
        <f>"10350110025"</f>
        <v>10350110025</v>
      </c>
      <c r="B2997" s="10">
        <v>0</v>
      </c>
      <c r="C2997" s="9"/>
      <c r="D2997" s="9">
        <f t="shared" si="46"/>
        <v>0</v>
      </c>
      <c r="E2997" s="11"/>
      <c r="F2997" s="9" t="s">
        <v>7</v>
      </c>
    </row>
    <row r="2998" s="1" customFormat="1" customHeight="1" spans="1:6">
      <c r="A2998" s="9" t="str">
        <f>"10280110026"</f>
        <v>10280110026</v>
      </c>
      <c r="B2998" s="10">
        <v>40.4</v>
      </c>
      <c r="C2998" s="9"/>
      <c r="D2998" s="9">
        <f t="shared" si="46"/>
        <v>40.4</v>
      </c>
      <c r="E2998" s="11"/>
      <c r="F2998" s="9"/>
    </row>
    <row r="2999" s="1" customFormat="1" customHeight="1" spans="1:6">
      <c r="A2999" s="9" t="str">
        <f>"10060110027"</f>
        <v>10060110027</v>
      </c>
      <c r="B2999" s="10">
        <v>0</v>
      </c>
      <c r="C2999" s="9"/>
      <c r="D2999" s="9">
        <f t="shared" si="46"/>
        <v>0</v>
      </c>
      <c r="E2999" s="11"/>
      <c r="F2999" s="9" t="s">
        <v>7</v>
      </c>
    </row>
    <row r="3000" s="1" customFormat="1" customHeight="1" spans="1:6">
      <c r="A3000" s="9" t="str">
        <f>"10440110028"</f>
        <v>10440110028</v>
      </c>
      <c r="B3000" s="10">
        <v>43.85</v>
      </c>
      <c r="C3000" s="9"/>
      <c r="D3000" s="9">
        <f t="shared" si="46"/>
        <v>43.85</v>
      </c>
      <c r="E3000" s="11"/>
      <c r="F3000" s="9"/>
    </row>
    <row r="3001" s="1" customFormat="1" customHeight="1" spans="1:6">
      <c r="A3001" s="9" t="str">
        <f>"10360110029"</f>
        <v>10360110029</v>
      </c>
      <c r="B3001" s="10">
        <v>0</v>
      </c>
      <c r="C3001" s="9"/>
      <c r="D3001" s="9">
        <f t="shared" si="46"/>
        <v>0</v>
      </c>
      <c r="E3001" s="11"/>
      <c r="F3001" s="9" t="s">
        <v>7</v>
      </c>
    </row>
    <row r="3002" s="1" customFormat="1" customHeight="1" spans="1:6">
      <c r="A3002" s="9" t="str">
        <f>"10080110030"</f>
        <v>10080110030</v>
      </c>
      <c r="B3002" s="10">
        <v>45.87</v>
      </c>
      <c r="C3002" s="9"/>
      <c r="D3002" s="9">
        <f t="shared" si="46"/>
        <v>45.87</v>
      </c>
      <c r="E3002" s="11"/>
      <c r="F3002" s="9"/>
    </row>
    <row r="3003" s="1" customFormat="1" customHeight="1" spans="1:6">
      <c r="A3003" s="9" t="str">
        <f>"10330110101"</f>
        <v>10330110101</v>
      </c>
      <c r="B3003" s="10">
        <v>0</v>
      </c>
      <c r="C3003" s="9"/>
      <c r="D3003" s="9">
        <f t="shared" si="46"/>
        <v>0</v>
      </c>
      <c r="E3003" s="11"/>
      <c r="F3003" s="9" t="s">
        <v>7</v>
      </c>
    </row>
    <row r="3004" s="1" customFormat="1" customHeight="1" spans="1:6">
      <c r="A3004" s="9" t="str">
        <f>"20270110102"</f>
        <v>20270110102</v>
      </c>
      <c r="B3004" s="10">
        <v>46.36</v>
      </c>
      <c r="C3004" s="9"/>
      <c r="D3004" s="9">
        <f t="shared" si="46"/>
        <v>46.36</v>
      </c>
      <c r="E3004" s="11"/>
      <c r="F3004" s="9"/>
    </row>
    <row r="3005" s="1" customFormat="1" customHeight="1" spans="1:6">
      <c r="A3005" s="9" t="str">
        <f>"10370110103"</f>
        <v>10370110103</v>
      </c>
      <c r="B3005" s="10">
        <v>0</v>
      </c>
      <c r="C3005" s="9"/>
      <c r="D3005" s="9">
        <f t="shared" si="46"/>
        <v>0</v>
      </c>
      <c r="E3005" s="11"/>
      <c r="F3005" s="9" t="s">
        <v>7</v>
      </c>
    </row>
    <row r="3006" s="1" customFormat="1" customHeight="1" spans="1:6">
      <c r="A3006" s="9" t="str">
        <f>"10500110104"</f>
        <v>10500110104</v>
      </c>
      <c r="B3006" s="10">
        <v>53.38</v>
      </c>
      <c r="C3006" s="9"/>
      <c r="D3006" s="9">
        <f t="shared" si="46"/>
        <v>53.38</v>
      </c>
      <c r="E3006" s="11"/>
      <c r="F3006" s="9"/>
    </row>
    <row r="3007" s="1" customFormat="1" customHeight="1" spans="1:6">
      <c r="A3007" s="9" t="str">
        <f>"10020110105"</f>
        <v>10020110105</v>
      </c>
      <c r="B3007" s="10">
        <v>39.03</v>
      </c>
      <c r="C3007" s="9"/>
      <c r="D3007" s="9">
        <f t="shared" si="46"/>
        <v>39.03</v>
      </c>
      <c r="E3007" s="11"/>
      <c r="F3007" s="9"/>
    </row>
    <row r="3008" s="1" customFormat="1" customHeight="1" spans="1:6">
      <c r="A3008" s="9" t="str">
        <f>"10360110106"</f>
        <v>10360110106</v>
      </c>
      <c r="B3008" s="10">
        <v>47.3</v>
      </c>
      <c r="C3008" s="9"/>
      <c r="D3008" s="9">
        <f t="shared" si="46"/>
        <v>47.3</v>
      </c>
      <c r="E3008" s="11"/>
      <c r="F3008" s="9"/>
    </row>
    <row r="3009" s="1" customFormat="1" customHeight="1" spans="1:6">
      <c r="A3009" s="9" t="str">
        <f>"10360110107"</f>
        <v>10360110107</v>
      </c>
      <c r="B3009" s="10">
        <v>0</v>
      </c>
      <c r="C3009" s="9"/>
      <c r="D3009" s="9">
        <f t="shared" si="46"/>
        <v>0</v>
      </c>
      <c r="E3009" s="11"/>
      <c r="F3009" s="9" t="s">
        <v>7</v>
      </c>
    </row>
    <row r="3010" s="1" customFormat="1" customHeight="1" spans="1:6">
      <c r="A3010" s="9" t="str">
        <f>"10360110108"</f>
        <v>10360110108</v>
      </c>
      <c r="B3010" s="10">
        <v>44.69</v>
      </c>
      <c r="C3010" s="9"/>
      <c r="D3010" s="9">
        <f t="shared" si="46"/>
        <v>44.69</v>
      </c>
      <c r="E3010" s="11"/>
      <c r="F3010" s="9"/>
    </row>
    <row r="3011" s="1" customFormat="1" customHeight="1" spans="1:6">
      <c r="A3011" s="9" t="str">
        <f>"10360110109"</f>
        <v>10360110109</v>
      </c>
      <c r="B3011" s="10">
        <v>38.88</v>
      </c>
      <c r="C3011" s="9"/>
      <c r="D3011" s="9">
        <f t="shared" ref="D3011:D3074" si="47">SUM(B3011:C3011)</f>
        <v>38.88</v>
      </c>
      <c r="E3011" s="11"/>
      <c r="F3011" s="9"/>
    </row>
    <row r="3012" s="1" customFormat="1" customHeight="1" spans="1:6">
      <c r="A3012" s="9" t="str">
        <f>"10360110110"</f>
        <v>10360110110</v>
      </c>
      <c r="B3012" s="10">
        <v>36.93</v>
      </c>
      <c r="C3012" s="9"/>
      <c r="D3012" s="9">
        <f t="shared" si="47"/>
        <v>36.93</v>
      </c>
      <c r="E3012" s="11"/>
      <c r="F3012" s="9"/>
    </row>
    <row r="3013" s="1" customFormat="1" customHeight="1" spans="1:6">
      <c r="A3013" s="9" t="str">
        <f>"10380110111"</f>
        <v>10380110111</v>
      </c>
      <c r="B3013" s="10">
        <v>0</v>
      </c>
      <c r="C3013" s="9"/>
      <c r="D3013" s="9">
        <f t="shared" si="47"/>
        <v>0</v>
      </c>
      <c r="E3013" s="11"/>
      <c r="F3013" s="9" t="s">
        <v>7</v>
      </c>
    </row>
    <row r="3014" s="1" customFormat="1" customHeight="1" spans="1:6">
      <c r="A3014" s="9" t="str">
        <f>"10180110112"</f>
        <v>10180110112</v>
      </c>
      <c r="B3014" s="10">
        <v>0</v>
      </c>
      <c r="C3014" s="9"/>
      <c r="D3014" s="9">
        <f t="shared" si="47"/>
        <v>0</v>
      </c>
      <c r="E3014" s="11"/>
      <c r="F3014" s="9" t="s">
        <v>7</v>
      </c>
    </row>
    <row r="3015" s="1" customFormat="1" customHeight="1" spans="1:6">
      <c r="A3015" s="9" t="str">
        <f>"10010110113"</f>
        <v>10010110113</v>
      </c>
      <c r="B3015" s="10">
        <v>47.28</v>
      </c>
      <c r="C3015" s="9"/>
      <c r="D3015" s="9">
        <f t="shared" si="47"/>
        <v>47.28</v>
      </c>
      <c r="E3015" s="11"/>
      <c r="F3015" s="9"/>
    </row>
    <row r="3016" s="1" customFormat="1" customHeight="1" spans="1:6">
      <c r="A3016" s="9" t="str">
        <f>"10090110114"</f>
        <v>10090110114</v>
      </c>
      <c r="B3016" s="10">
        <v>47.98</v>
      </c>
      <c r="C3016" s="9"/>
      <c r="D3016" s="9">
        <f t="shared" si="47"/>
        <v>47.98</v>
      </c>
      <c r="E3016" s="11"/>
      <c r="F3016" s="9"/>
    </row>
    <row r="3017" s="1" customFormat="1" customHeight="1" spans="1:6">
      <c r="A3017" s="9" t="str">
        <f>"10090110115"</f>
        <v>10090110115</v>
      </c>
      <c r="B3017" s="10">
        <v>36.57</v>
      </c>
      <c r="C3017" s="9"/>
      <c r="D3017" s="9">
        <f t="shared" si="47"/>
        <v>36.57</v>
      </c>
      <c r="E3017" s="11"/>
      <c r="F3017" s="9"/>
    </row>
    <row r="3018" s="1" customFormat="1" customHeight="1" spans="1:6">
      <c r="A3018" s="9" t="str">
        <f>"10300110116"</f>
        <v>10300110116</v>
      </c>
      <c r="B3018" s="10">
        <v>0</v>
      </c>
      <c r="C3018" s="9"/>
      <c r="D3018" s="9">
        <f t="shared" si="47"/>
        <v>0</v>
      </c>
      <c r="E3018" s="11"/>
      <c r="F3018" s="9" t="s">
        <v>7</v>
      </c>
    </row>
    <row r="3019" s="1" customFormat="1" customHeight="1" spans="1:6">
      <c r="A3019" s="9" t="str">
        <f>"10500110117"</f>
        <v>10500110117</v>
      </c>
      <c r="B3019" s="10">
        <v>48.82</v>
      </c>
      <c r="C3019" s="9"/>
      <c r="D3019" s="9">
        <f t="shared" si="47"/>
        <v>48.82</v>
      </c>
      <c r="E3019" s="11"/>
      <c r="F3019" s="9"/>
    </row>
    <row r="3020" s="1" customFormat="1" customHeight="1" spans="1:6">
      <c r="A3020" s="9" t="str">
        <f>"10330110118"</f>
        <v>10330110118</v>
      </c>
      <c r="B3020" s="10">
        <v>35.99</v>
      </c>
      <c r="C3020" s="9"/>
      <c r="D3020" s="9">
        <f t="shared" si="47"/>
        <v>35.99</v>
      </c>
      <c r="E3020" s="11"/>
      <c r="F3020" s="9"/>
    </row>
    <row r="3021" s="1" customFormat="1" customHeight="1" spans="1:6">
      <c r="A3021" s="9" t="str">
        <f>"10520110119"</f>
        <v>10520110119</v>
      </c>
      <c r="B3021" s="10">
        <v>42.2</v>
      </c>
      <c r="C3021" s="9"/>
      <c r="D3021" s="9">
        <f t="shared" si="47"/>
        <v>42.2</v>
      </c>
      <c r="E3021" s="11"/>
      <c r="F3021" s="9"/>
    </row>
    <row r="3022" s="1" customFormat="1" customHeight="1" spans="1:6">
      <c r="A3022" s="9" t="str">
        <f>"10290110120"</f>
        <v>10290110120</v>
      </c>
      <c r="B3022" s="10">
        <v>41.58</v>
      </c>
      <c r="C3022" s="9"/>
      <c r="D3022" s="9">
        <f t="shared" si="47"/>
        <v>41.58</v>
      </c>
      <c r="E3022" s="11"/>
      <c r="F3022" s="9"/>
    </row>
    <row r="3023" s="1" customFormat="1" customHeight="1" spans="1:6">
      <c r="A3023" s="9" t="str">
        <f>"10360110121"</f>
        <v>10360110121</v>
      </c>
      <c r="B3023" s="10">
        <v>0</v>
      </c>
      <c r="C3023" s="9"/>
      <c r="D3023" s="9">
        <f t="shared" si="47"/>
        <v>0</v>
      </c>
      <c r="E3023" s="11"/>
      <c r="F3023" s="9" t="s">
        <v>7</v>
      </c>
    </row>
    <row r="3024" s="1" customFormat="1" customHeight="1" spans="1:6">
      <c r="A3024" s="9" t="str">
        <f>"10380110122"</f>
        <v>10380110122</v>
      </c>
      <c r="B3024" s="10">
        <v>46.16</v>
      </c>
      <c r="C3024" s="9"/>
      <c r="D3024" s="9">
        <f t="shared" si="47"/>
        <v>46.16</v>
      </c>
      <c r="E3024" s="11"/>
      <c r="F3024" s="9"/>
    </row>
    <row r="3025" s="1" customFormat="1" customHeight="1" spans="1:6">
      <c r="A3025" s="9" t="str">
        <f>"10080110123"</f>
        <v>10080110123</v>
      </c>
      <c r="B3025" s="10">
        <v>0</v>
      </c>
      <c r="C3025" s="9"/>
      <c r="D3025" s="9">
        <f t="shared" si="47"/>
        <v>0</v>
      </c>
      <c r="E3025" s="11"/>
      <c r="F3025" s="9" t="s">
        <v>7</v>
      </c>
    </row>
    <row r="3026" s="1" customFormat="1" customHeight="1" spans="1:6">
      <c r="A3026" s="9" t="str">
        <f>"10300110124"</f>
        <v>10300110124</v>
      </c>
      <c r="B3026" s="10">
        <v>46.96</v>
      </c>
      <c r="C3026" s="9"/>
      <c r="D3026" s="9">
        <f t="shared" si="47"/>
        <v>46.96</v>
      </c>
      <c r="E3026" s="11"/>
      <c r="F3026" s="9"/>
    </row>
    <row r="3027" s="1" customFormat="1" customHeight="1" spans="1:6">
      <c r="A3027" s="9" t="str">
        <f>"10300110125"</f>
        <v>10300110125</v>
      </c>
      <c r="B3027" s="10">
        <v>0</v>
      </c>
      <c r="C3027" s="9"/>
      <c r="D3027" s="9">
        <f t="shared" si="47"/>
        <v>0</v>
      </c>
      <c r="E3027" s="11"/>
      <c r="F3027" s="9" t="s">
        <v>7</v>
      </c>
    </row>
    <row r="3028" s="1" customFormat="1" customHeight="1" spans="1:6">
      <c r="A3028" s="9" t="str">
        <f>"10360110126"</f>
        <v>10360110126</v>
      </c>
      <c r="B3028" s="10">
        <v>0</v>
      </c>
      <c r="C3028" s="9"/>
      <c r="D3028" s="9">
        <f t="shared" si="47"/>
        <v>0</v>
      </c>
      <c r="E3028" s="11"/>
      <c r="F3028" s="9" t="s">
        <v>7</v>
      </c>
    </row>
    <row r="3029" s="1" customFormat="1" customHeight="1" spans="1:6">
      <c r="A3029" s="9" t="str">
        <f>"10210110127"</f>
        <v>10210110127</v>
      </c>
      <c r="B3029" s="10">
        <v>0</v>
      </c>
      <c r="C3029" s="9"/>
      <c r="D3029" s="9">
        <f t="shared" si="47"/>
        <v>0</v>
      </c>
      <c r="E3029" s="11"/>
      <c r="F3029" s="9" t="s">
        <v>7</v>
      </c>
    </row>
    <row r="3030" s="1" customFormat="1" customHeight="1" spans="1:6">
      <c r="A3030" s="9" t="str">
        <f>"10020110128"</f>
        <v>10020110128</v>
      </c>
      <c r="B3030" s="10">
        <v>44.1</v>
      </c>
      <c r="C3030" s="9"/>
      <c r="D3030" s="9">
        <f t="shared" si="47"/>
        <v>44.1</v>
      </c>
      <c r="E3030" s="11"/>
      <c r="F3030" s="9"/>
    </row>
    <row r="3031" s="1" customFormat="1" customHeight="1" spans="1:6">
      <c r="A3031" s="9" t="str">
        <f>"10340110129"</f>
        <v>10340110129</v>
      </c>
      <c r="B3031" s="10">
        <v>0</v>
      </c>
      <c r="C3031" s="9"/>
      <c r="D3031" s="9">
        <f t="shared" si="47"/>
        <v>0</v>
      </c>
      <c r="E3031" s="11"/>
      <c r="F3031" s="9" t="s">
        <v>7</v>
      </c>
    </row>
    <row r="3032" s="1" customFormat="1" customHeight="1" spans="1:6">
      <c r="A3032" s="9" t="str">
        <f>"10090110130"</f>
        <v>10090110130</v>
      </c>
      <c r="B3032" s="10">
        <v>50.07</v>
      </c>
      <c r="C3032" s="9"/>
      <c r="D3032" s="9">
        <f t="shared" si="47"/>
        <v>50.07</v>
      </c>
      <c r="E3032" s="11"/>
      <c r="F3032" s="9"/>
    </row>
    <row r="3033" s="1" customFormat="1" customHeight="1" spans="1:6">
      <c r="A3033" s="9" t="str">
        <f>"10100110201"</f>
        <v>10100110201</v>
      </c>
      <c r="B3033" s="10">
        <v>40.25</v>
      </c>
      <c r="C3033" s="9"/>
      <c r="D3033" s="9">
        <f t="shared" si="47"/>
        <v>40.25</v>
      </c>
      <c r="E3033" s="11"/>
      <c r="F3033" s="9"/>
    </row>
    <row r="3034" s="1" customFormat="1" customHeight="1" spans="1:6">
      <c r="A3034" s="9" t="str">
        <f>"10300110202"</f>
        <v>10300110202</v>
      </c>
      <c r="B3034" s="10">
        <v>41.15</v>
      </c>
      <c r="C3034" s="9"/>
      <c r="D3034" s="9">
        <f t="shared" si="47"/>
        <v>41.15</v>
      </c>
      <c r="E3034" s="11"/>
      <c r="F3034" s="9"/>
    </row>
    <row r="3035" s="1" customFormat="1" customHeight="1" spans="1:6">
      <c r="A3035" s="9" t="str">
        <f>"10130110203"</f>
        <v>10130110203</v>
      </c>
      <c r="B3035" s="10">
        <v>42.26</v>
      </c>
      <c r="C3035" s="9"/>
      <c r="D3035" s="9">
        <f t="shared" si="47"/>
        <v>42.26</v>
      </c>
      <c r="E3035" s="11"/>
      <c r="F3035" s="9"/>
    </row>
    <row r="3036" s="1" customFormat="1" customHeight="1" spans="1:6">
      <c r="A3036" s="9" t="str">
        <f>"10400110204"</f>
        <v>10400110204</v>
      </c>
      <c r="B3036" s="10">
        <v>42.71</v>
      </c>
      <c r="C3036" s="9">
        <v>10</v>
      </c>
      <c r="D3036" s="9">
        <f t="shared" si="47"/>
        <v>52.71</v>
      </c>
      <c r="E3036" s="12" t="s">
        <v>8</v>
      </c>
      <c r="F3036" s="9"/>
    </row>
    <row r="3037" s="1" customFormat="1" customHeight="1" spans="1:6">
      <c r="A3037" s="9" t="str">
        <f>"10290110205"</f>
        <v>10290110205</v>
      </c>
      <c r="B3037" s="10">
        <v>42.81</v>
      </c>
      <c r="C3037" s="9"/>
      <c r="D3037" s="9">
        <f t="shared" si="47"/>
        <v>42.81</v>
      </c>
      <c r="E3037" s="11"/>
      <c r="F3037" s="9"/>
    </row>
    <row r="3038" s="1" customFormat="1" customHeight="1" spans="1:6">
      <c r="A3038" s="9" t="str">
        <f>"10090110206"</f>
        <v>10090110206</v>
      </c>
      <c r="B3038" s="10">
        <v>37.2</v>
      </c>
      <c r="C3038" s="9"/>
      <c r="D3038" s="9">
        <f t="shared" si="47"/>
        <v>37.2</v>
      </c>
      <c r="E3038" s="11"/>
      <c r="F3038" s="9"/>
    </row>
    <row r="3039" s="1" customFormat="1" customHeight="1" spans="1:6">
      <c r="A3039" s="9" t="str">
        <f>"10300110207"</f>
        <v>10300110207</v>
      </c>
      <c r="B3039" s="10">
        <v>0</v>
      </c>
      <c r="C3039" s="9"/>
      <c r="D3039" s="9">
        <f t="shared" si="47"/>
        <v>0</v>
      </c>
      <c r="E3039" s="11"/>
      <c r="F3039" s="9" t="s">
        <v>7</v>
      </c>
    </row>
    <row r="3040" s="1" customFormat="1" customHeight="1" spans="1:6">
      <c r="A3040" s="9" t="str">
        <f>"10120110208"</f>
        <v>10120110208</v>
      </c>
      <c r="B3040" s="10">
        <v>45.65</v>
      </c>
      <c r="C3040" s="9"/>
      <c r="D3040" s="9">
        <f t="shared" si="47"/>
        <v>45.65</v>
      </c>
      <c r="E3040" s="11"/>
      <c r="F3040" s="9"/>
    </row>
    <row r="3041" s="1" customFormat="1" customHeight="1" spans="1:6">
      <c r="A3041" s="9" t="str">
        <f>"10330110209"</f>
        <v>10330110209</v>
      </c>
      <c r="B3041" s="10">
        <v>35.48</v>
      </c>
      <c r="C3041" s="9"/>
      <c r="D3041" s="9">
        <f t="shared" si="47"/>
        <v>35.48</v>
      </c>
      <c r="E3041" s="11"/>
      <c r="F3041" s="9"/>
    </row>
    <row r="3042" s="1" customFormat="1" customHeight="1" spans="1:6">
      <c r="A3042" s="9" t="str">
        <f>"10360110210"</f>
        <v>10360110210</v>
      </c>
      <c r="B3042" s="10">
        <v>47.21</v>
      </c>
      <c r="C3042" s="9"/>
      <c r="D3042" s="9">
        <f t="shared" si="47"/>
        <v>47.21</v>
      </c>
      <c r="E3042" s="11"/>
      <c r="F3042" s="9"/>
    </row>
    <row r="3043" s="1" customFormat="1" customHeight="1" spans="1:6">
      <c r="A3043" s="9" t="str">
        <f>"10130110211"</f>
        <v>10130110211</v>
      </c>
      <c r="B3043" s="10">
        <v>42.98</v>
      </c>
      <c r="C3043" s="9"/>
      <c r="D3043" s="9">
        <f t="shared" si="47"/>
        <v>42.98</v>
      </c>
      <c r="E3043" s="11"/>
      <c r="F3043" s="9"/>
    </row>
    <row r="3044" s="1" customFormat="1" customHeight="1" spans="1:6">
      <c r="A3044" s="9" t="str">
        <f>"10330110212"</f>
        <v>10330110212</v>
      </c>
      <c r="B3044" s="10">
        <v>0</v>
      </c>
      <c r="C3044" s="9"/>
      <c r="D3044" s="9">
        <f t="shared" si="47"/>
        <v>0</v>
      </c>
      <c r="E3044" s="11"/>
      <c r="F3044" s="9" t="s">
        <v>7</v>
      </c>
    </row>
    <row r="3045" s="1" customFormat="1" customHeight="1" spans="1:6">
      <c r="A3045" s="9" t="str">
        <f>"10140110213"</f>
        <v>10140110213</v>
      </c>
      <c r="B3045" s="10">
        <v>0</v>
      </c>
      <c r="C3045" s="9"/>
      <c r="D3045" s="9">
        <f t="shared" si="47"/>
        <v>0</v>
      </c>
      <c r="E3045" s="11"/>
      <c r="F3045" s="9" t="s">
        <v>7</v>
      </c>
    </row>
    <row r="3046" s="1" customFormat="1" customHeight="1" spans="1:6">
      <c r="A3046" s="9" t="str">
        <f>"10500110214"</f>
        <v>10500110214</v>
      </c>
      <c r="B3046" s="10">
        <v>40.65</v>
      </c>
      <c r="C3046" s="9"/>
      <c r="D3046" s="9">
        <f t="shared" si="47"/>
        <v>40.65</v>
      </c>
      <c r="E3046" s="11"/>
      <c r="F3046" s="9"/>
    </row>
    <row r="3047" s="1" customFormat="1" customHeight="1" spans="1:6">
      <c r="A3047" s="9" t="str">
        <f>"10100110215"</f>
        <v>10100110215</v>
      </c>
      <c r="B3047" s="10">
        <v>0</v>
      </c>
      <c r="C3047" s="9"/>
      <c r="D3047" s="9">
        <f t="shared" si="47"/>
        <v>0</v>
      </c>
      <c r="E3047" s="11"/>
      <c r="F3047" s="9" t="s">
        <v>7</v>
      </c>
    </row>
    <row r="3048" s="1" customFormat="1" customHeight="1" spans="1:6">
      <c r="A3048" s="9" t="str">
        <f>"10120110216"</f>
        <v>10120110216</v>
      </c>
      <c r="B3048" s="10">
        <v>0</v>
      </c>
      <c r="C3048" s="9"/>
      <c r="D3048" s="9">
        <f t="shared" si="47"/>
        <v>0</v>
      </c>
      <c r="E3048" s="11"/>
      <c r="F3048" s="9" t="s">
        <v>7</v>
      </c>
    </row>
    <row r="3049" s="1" customFormat="1" customHeight="1" spans="1:6">
      <c r="A3049" s="9" t="str">
        <f>"10360110217"</f>
        <v>10360110217</v>
      </c>
      <c r="B3049" s="10">
        <v>37.74</v>
      </c>
      <c r="C3049" s="9"/>
      <c r="D3049" s="9">
        <f t="shared" si="47"/>
        <v>37.74</v>
      </c>
      <c r="E3049" s="11"/>
      <c r="F3049" s="9"/>
    </row>
    <row r="3050" s="1" customFormat="1" customHeight="1" spans="1:6">
      <c r="A3050" s="9" t="str">
        <f>"10500110218"</f>
        <v>10500110218</v>
      </c>
      <c r="B3050" s="10">
        <v>0</v>
      </c>
      <c r="C3050" s="9"/>
      <c r="D3050" s="9">
        <f t="shared" si="47"/>
        <v>0</v>
      </c>
      <c r="E3050" s="11"/>
      <c r="F3050" s="9" t="s">
        <v>7</v>
      </c>
    </row>
    <row r="3051" s="1" customFormat="1" customHeight="1" spans="1:6">
      <c r="A3051" s="9" t="str">
        <f>"10360110219"</f>
        <v>10360110219</v>
      </c>
      <c r="B3051" s="10">
        <v>0</v>
      </c>
      <c r="C3051" s="9"/>
      <c r="D3051" s="9">
        <f t="shared" si="47"/>
        <v>0</v>
      </c>
      <c r="E3051" s="11"/>
      <c r="F3051" s="9" t="s">
        <v>7</v>
      </c>
    </row>
    <row r="3052" s="1" customFormat="1" customHeight="1" spans="1:6">
      <c r="A3052" s="9" t="str">
        <f>"20180110220"</f>
        <v>20180110220</v>
      </c>
      <c r="B3052" s="10">
        <v>0</v>
      </c>
      <c r="C3052" s="9"/>
      <c r="D3052" s="9">
        <f t="shared" si="47"/>
        <v>0</v>
      </c>
      <c r="E3052" s="11"/>
      <c r="F3052" s="9" t="s">
        <v>7</v>
      </c>
    </row>
    <row r="3053" s="1" customFormat="1" customHeight="1" spans="1:6">
      <c r="A3053" s="9" t="str">
        <f>"10360110221"</f>
        <v>10360110221</v>
      </c>
      <c r="B3053" s="10">
        <v>0</v>
      </c>
      <c r="C3053" s="9"/>
      <c r="D3053" s="9">
        <f t="shared" si="47"/>
        <v>0</v>
      </c>
      <c r="E3053" s="11"/>
      <c r="F3053" s="9" t="s">
        <v>7</v>
      </c>
    </row>
    <row r="3054" s="1" customFormat="1" customHeight="1" spans="1:6">
      <c r="A3054" s="9" t="str">
        <f>"10300110222"</f>
        <v>10300110222</v>
      </c>
      <c r="B3054" s="10">
        <v>0</v>
      </c>
      <c r="C3054" s="9"/>
      <c r="D3054" s="9">
        <f t="shared" si="47"/>
        <v>0</v>
      </c>
      <c r="E3054" s="11"/>
      <c r="F3054" s="9" t="s">
        <v>7</v>
      </c>
    </row>
    <row r="3055" s="1" customFormat="1" customHeight="1" spans="1:6">
      <c r="A3055" s="9" t="str">
        <f>"10230110223"</f>
        <v>10230110223</v>
      </c>
      <c r="B3055" s="10">
        <v>39.6</v>
      </c>
      <c r="C3055" s="9"/>
      <c r="D3055" s="9">
        <f t="shared" si="47"/>
        <v>39.6</v>
      </c>
      <c r="E3055" s="11"/>
      <c r="F3055" s="9"/>
    </row>
    <row r="3056" s="1" customFormat="1" customHeight="1" spans="1:6">
      <c r="A3056" s="9" t="str">
        <f>"20270110224"</f>
        <v>20270110224</v>
      </c>
      <c r="B3056" s="10">
        <v>42.02</v>
      </c>
      <c r="C3056" s="9"/>
      <c r="D3056" s="9">
        <f t="shared" si="47"/>
        <v>42.02</v>
      </c>
      <c r="E3056" s="11"/>
      <c r="F3056" s="9"/>
    </row>
    <row r="3057" s="1" customFormat="1" customHeight="1" spans="1:6">
      <c r="A3057" s="9" t="str">
        <f>"10340110225"</f>
        <v>10340110225</v>
      </c>
      <c r="B3057" s="10">
        <v>40.78</v>
      </c>
      <c r="C3057" s="9"/>
      <c r="D3057" s="9">
        <f t="shared" si="47"/>
        <v>40.78</v>
      </c>
      <c r="E3057" s="11"/>
      <c r="F3057" s="9"/>
    </row>
    <row r="3058" s="1" customFormat="1" customHeight="1" spans="1:6">
      <c r="A3058" s="9" t="str">
        <f>"10530110226"</f>
        <v>10530110226</v>
      </c>
      <c r="B3058" s="10">
        <v>40.63</v>
      </c>
      <c r="C3058" s="9"/>
      <c r="D3058" s="9">
        <f t="shared" si="47"/>
        <v>40.63</v>
      </c>
      <c r="E3058" s="11"/>
      <c r="F3058" s="9"/>
    </row>
    <row r="3059" s="1" customFormat="1" customHeight="1" spans="1:6">
      <c r="A3059" s="9" t="str">
        <f>"10360110227"</f>
        <v>10360110227</v>
      </c>
      <c r="B3059" s="10">
        <v>45.58</v>
      </c>
      <c r="C3059" s="9"/>
      <c r="D3059" s="9">
        <f t="shared" si="47"/>
        <v>45.58</v>
      </c>
      <c r="E3059" s="11"/>
      <c r="F3059" s="9"/>
    </row>
    <row r="3060" s="1" customFormat="1" customHeight="1" spans="1:6">
      <c r="A3060" s="9" t="str">
        <f>"10330110228"</f>
        <v>10330110228</v>
      </c>
      <c r="B3060" s="10">
        <v>0</v>
      </c>
      <c r="C3060" s="9"/>
      <c r="D3060" s="9">
        <f t="shared" si="47"/>
        <v>0</v>
      </c>
      <c r="E3060" s="11"/>
      <c r="F3060" s="9" t="s">
        <v>7</v>
      </c>
    </row>
    <row r="3061" s="1" customFormat="1" customHeight="1" spans="1:6">
      <c r="A3061" s="9" t="str">
        <f>"10210110229"</f>
        <v>10210110229</v>
      </c>
      <c r="B3061" s="10">
        <v>0</v>
      </c>
      <c r="C3061" s="9"/>
      <c r="D3061" s="9">
        <f t="shared" si="47"/>
        <v>0</v>
      </c>
      <c r="E3061" s="11"/>
      <c r="F3061" s="9" t="s">
        <v>7</v>
      </c>
    </row>
    <row r="3062" s="1" customFormat="1" customHeight="1" spans="1:6">
      <c r="A3062" s="9" t="str">
        <f>"10450110230"</f>
        <v>10450110230</v>
      </c>
      <c r="B3062" s="10">
        <v>0</v>
      </c>
      <c r="C3062" s="9"/>
      <c r="D3062" s="9">
        <f t="shared" si="47"/>
        <v>0</v>
      </c>
      <c r="E3062" s="11"/>
      <c r="F3062" s="9" t="s">
        <v>7</v>
      </c>
    </row>
    <row r="3063" s="1" customFormat="1" customHeight="1" spans="1:6">
      <c r="A3063" s="9" t="str">
        <f>"10300110301"</f>
        <v>10300110301</v>
      </c>
      <c r="B3063" s="10">
        <v>42.26</v>
      </c>
      <c r="C3063" s="9"/>
      <c r="D3063" s="9">
        <f t="shared" si="47"/>
        <v>42.26</v>
      </c>
      <c r="E3063" s="11"/>
      <c r="F3063" s="9"/>
    </row>
    <row r="3064" s="1" customFormat="1" customHeight="1" spans="1:6">
      <c r="A3064" s="9" t="str">
        <f>"10300110302"</f>
        <v>10300110302</v>
      </c>
      <c r="B3064" s="10">
        <v>0</v>
      </c>
      <c r="C3064" s="9"/>
      <c r="D3064" s="9">
        <f t="shared" si="47"/>
        <v>0</v>
      </c>
      <c r="E3064" s="11"/>
      <c r="F3064" s="9" t="s">
        <v>7</v>
      </c>
    </row>
    <row r="3065" s="1" customFormat="1" customHeight="1" spans="1:6">
      <c r="A3065" s="9" t="str">
        <f>"10290110303"</f>
        <v>10290110303</v>
      </c>
      <c r="B3065" s="10">
        <v>0</v>
      </c>
      <c r="C3065" s="9"/>
      <c r="D3065" s="9">
        <f t="shared" si="47"/>
        <v>0</v>
      </c>
      <c r="E3065" s="11"/>
      <c r="F3065" s="9" t="s">
        <v>7</v>
      </c>
    </row>
    <row r="3066" s="1" customFormat="1" customHeight="1" spans="1:6">
      <c r="A3066" s="9" t="str">
        <f>"10140110304"</f>
        <v>10140110304</v>
      </c>
      <c r="B3066" s="10">
        <v>31.1</v>
      </c>
      <c r="C3066" s="9"/>
      <c r="D3066" s="9">
        <f t="shared" si="47"/>
        <v>31.1</v>
      </c>
      <c r="E3066" s="11"/>
      <c r="F3066" s="9"/>
    </row>
    <row r="3067" s="1" customFormat="1" customHeight="1" spans="1:6">
      <c r="A3067" s="9" t="str">
        <f>"10020110305"</f>
        <v>10020110305</v>
      </c>
      <c r="B3067" s="10">
        <v>36.42</v>
      </c>
      <c r="C3067" s="9"/>
      <c r="D3067" s="9">
        <f t="shared" si="47"/>
        <v>36.42</v>
      </c>
      <c r="E3067" s="11"/>
      <c r="F3067" s="9"/>
    </row>
    <row r="3068" s="1" customFormat="1" customHeight="1" spans="1:6">
      <c r="A3068" s="9" t="str">
        <f>"10360110306"</f>
        <v>10360110306</v>
      </c>
      <c r="B3068" s="10">
        <v>0</v>
      </c>
      <c r="C3068" s="9"/>
      <c r="D3068" s="9">
        <f t="shared" si="47"/>
        <v>0</v>
      </c>
      <c r="E3068" s="11"/>
      <c r="F3068" s="9" t="s">
        <v>7</v>
      </c>
    </row>
    <row r="3069" s="1" customFormat="1" customHeight="1" spans="1:6">
      <c r="A3069" s="9" t="str">
        <f>"10340110307"</f>
        <v>10340110307</v>
      </c>
      <c r="B3069" s="10">
        <v>42.47</v>
      </c>
      <c r="C3069" s="9"/>
      <c r="D3069" s="9">
        <f t="shared" si="47"/>
        <v>42.47</v>
      </c>
      <c r="E3069" s="11"/>
      <c r="F3069" s="9"/>
    </row>
    <row r="3070" s="1" customFormat="1" customHeight="1" spans="1:6">
      <c r="A3070" s="9" t="str">
        <f>"10330110308"</f>
        <v>10330110308</v>
      </c>
      <c r="B3070" s="10">
        <v>0</v>
      </c>
      <c r="C3070" s="9"/>
      <c r="D3070" s="9">
        <f t="shared" si="47"/>
        <v>0</v>
      </c>
      <c r="E3070" s="11"/>
      <c r="F3070" s="9" t="s">
        <v>7</v>
      </c>
    </row>
    <row r="3071" s="1" customFormat="1" customHeight="1" spans="1:6">
      <c r="A3071" s="9" t="str">
        <f>"10330110309"</f>
        <v>10330110309</v>
      </c>
      <c r="B3071" s="10">
        <v>28.24</v>
      </c>
      <c r="C3071" s="9"/>
      <c r="D3071" s="9">
        <f t="shared" si="47"/>
        <v>28.24</v>
      </c>
      <c r="E3071" s="11"/>
      <c r="F3071" s="9"/>
    </row>
    <row r="3072" s="1" customFormat="1" customHeight="1" spans="1:6">
      <c r="A3072" s="9" t="str">
        <f>"10060110310"</f>
        <v>10060110310</v>
      </c>
      <c r="B3072" s="10">
        <v>56.54</v>
      </c>
      <c r="C3072" s="9"/>
      <c r="D3072" s="9">
        <f t="shared" si="47"/>
        <v>56.54</v>
      </c>
      <c r="E3072" s="11"/>
      <c r="F3072" s="9"/>
    </row>
    <row r="3073" s="1" customFormat="1" customHeight="1" spans="1:6">
      <c r="A3073" s="9" t="str">
        <f>"10430110311"</f>
        <v>10430110311</v>
      </c>
      <c r="B3073" s="10">
        <v>36.96</v>
      </c>
      <c r="C3073" s="9"/>
      <c r="D3073" s="9">
        <f t="shared" si="47"/>
        <v>36.96</v>
      </c>
      <c r="E3073" s="11"/>
      <c r="F3073" s="9"/>
    </row>
    <row r="3074" s="1" customFormat="1" customHeight="1" spans="1:6">
      <c r="A3074" s="9" t="str">
        <f>"10360110312"</f>
        <v>10360110312</v>
      </c>
      <c r="B3074" s="10">
        <v>30.83</v>
      </c>
      <c r="C3074" s="9">
        <v>10</v>
      </c>
      <c r="D3074" s="9">
        <f t="shared" si="47"/>
        <v>40.83</v>
      </c>
      <c r="E3074" s="12" t="s">
        <v>8</v>
      </c>
      <c r="F3074" s="9"/>
    </row>
    <row r="3075" s="1" customFormat="1" customHeight="1" spans="1:6">
      <c r="A3075" s="9" t="str">
        <f>"10360110313"</f>
        <v>10360110313</v>
      </c>
      <c r="B3075" s="10">
        <v>35.15</v>
      </c>
      <c r="C3075" s="9"/>
      <c r="D3075" s="9">
        <f t="shared" ref="D3075:D3138" si="48">SUM(B3075:C3075)</f>
        <v>35.15</v>
      </c>
      <c r="E3075" s="11"/>
      <c r="F3075" s="9"/>
    </row>
    <row r="3076" s="1" customFormat="1" customHeight="1" spans="1:6">
      <c r="A3076" s="9" t="str">
        <f>"10120110314"</f>
        <v>10120110314</v>
      </c>
      <c r="B3076" s="10">
        <v>37.93</v>
      </c>
      <c r="C3076" s="9"/>
      <c r="D3076" s="9">
        <f t="shared" si="48"/>
        <v>37.93</v>
      </c>
      <c r="E3076" s="11"/>
      <c r="F3076" s="9"/>
    </row>
    <row r="3077" s="1" customFormat="1" customHeight="1" spans="1:6">
      <c r="A3077" s="9" t="str">
        <f>"10360110315"</f>
        <v>10360110315</v>
      </c>
      <c r="B3077" s="10">
        <v>38.7</v>
      </c>
      <c r="C3077" s="9"/>
      <c r="D3077" s="9">
        <f t="shared" si="48"/>
        <v>38.7</v>
      </c>
      <c r="E3077" s="11"/>
      <c r="F3077" s="9"/>
    </row>
    <row r="3078" s="1" customFormat="1" customHeight="1" spans="1:6">
      <c r="A3078" s="9" t="str">
        <f>"10080110316"</f>
        <v>10080110316</v>
      </c>
      <c r="B3078" s="10">
        <v>0</v>
      </c>
      <c r="C3078" s="9"/>
      <c r="D3078" s="9">
        <f t="shared" si="48"/>
        <v>0</v>
      </c>
      <c r="E3078" s="11"/>
      <c r="F3078" s="9" t="s">
        <v>7</v>
      </c>
    </row>
    <row r="3079" s="1" customFormat="1" customHeight="1" spans="1:6">
      <c r="A3079" s="9" t="str">
        <f>"10360110317"</f>
        <v>10360110317</v>
      </c>
      <c r="B3079" s="10">
        <v>32.21</v>
      </c>
      <c r="C3079" s="9"/>
      <c r="D3079" s="9">
        <f t="shared" si="48"/>
        <v>32.21</v>
      </c>
      <c r="E3079" s="11"/>
      <c r="F3079" s="9"/>
    </row>
    <row r="3080" s="1" customFormat="1" customHeight="1" spans="1:6">
      <c r="A3080" s="9" t="str">
        <f>"10360110318"</f>
        <v>10360110318</v>
      </c>
      <c r="B3080" s="10">
        <v>0</v>
      </c>
      <c r="C3080" s="9"/>
      <c r="D3080" s="9">
        <f t="shared" si="48"/>
        <v>0</v>
      </c>
      <c r="E3080" s="11"/>
      <c r="F3080" s="9" t="s">
        <v>7</v>
      </c>
    </row>
    <row r="3081" s="1" customFormat="1" customHeight="1" spans="1:6">
      <c r="A3081" s="9" t="str">
        <f>"10360110319"</f>
        <v>10360110319</v>
      </c>
      <c r="B3081" s="10">
        <v>0</v>
      </c>
      <c r="C3081" s="9"/>
      <c r="D3081" s="9">
        <f t="shared" si="48"/>
        <v>0</v>
      </c>
      <c r="E3081" s="11"/>
      <c r="F3081" s="9" t="s">
        <v>7</v>
      </c>
    </row>
    <row r="3082" s="1" customFormat="1" customHeight="1" spans="1:6">
      <c r="A3082" s="9" t="str">
        <f>"10530110320"</f>
        <v>10530110320</v>
      </c>
      <c r="B3082" s="10">
        <v>0</v>
      </c>
      <c r="C3082" s="9"/>
      <c r="D3082" s="9">
        <f t="shared" si="48"/>
        <v>0</v>
      </c>
      <c r="E3082" s="11"/>
      <c r="F3082" s="9" t="s">
        <v>7</v>
      </c>
    </row>
    <row r="3083" s="1" customFormat="1" customHeight="1" spans="1:6">
      <c r="A3083" s="9" t="str">
        <f>"10530110321"</f>
        <v>10530110321</v>
      </c>
      <c r="B3083" s="10">
        <v>0</v>
      </c>
      <c r="C3083" s="9"/>
      <c r="D3083" s="9">
        <f t="shared" si="48"/>
        <v>0</v>
      </c>
      <c r="E3083" s="11"/>
      <c r="F3083" s="9" t="s">
        <v>7</v>
      </c>
    </row>
    <row r="3084" s="1" customFormat="1" customHeight="1" spans="1:6">
      <c r="A3084" s="9" t="str">
        <f>"10360110322"</f>
        <v>10360110322</v>
      </c>
      <c r="B3084" s="10">
        <v>37.69</v>
      </c>
      <c r="C3084" s="9"/>
      <c r="D3084" s="9">
        <f t="shared" si="48"/>
        <v>37.69</v>
      </c>
      <c r="E3084" s="11"/>
      <c r="F3084" s="9"/>
    </row>
    <row r="3085" s="1" customFormat="1" customHeight="1" spans="1:6">
      <c r="A3085" s="9" t="str">
        <f>"10510110323"</f>
        <v>10510110323</v>
      </c>
      <c r="B3085" s="10">
        <v>40.43</v>
      </c>
      <c r="C3085" s="9"/>
      <c r="D3085" s="9">
        <f t="shared" si="48"/>
        <v>40.43</v>
      </c>
      <c r="E3085" s="11"/>
      <c r="F3085" s="9"/>
    </row>
    <row r="3086" s="1" customFormat="1" customHeight="1" spans="1:6">
      <c r="A3086" s="9" t="str">
        <f>"10310110324"</f>
        <v>10310110324</v>
      </c>
      <c r="B3086" s="10">
        <v>0</v>
      </c>
      <c r="C3086" s="9"/>
      <c r="D3086" s="9">
        <f t="shared" si="48"/>
        <v>0</v>
      </c>
      <c r="E3086" s="11"/>
      <c r="F3086" s="9" t="s">
        <v>7</v>
      </c>
    </row>
    <row r="3087" s="1" customFormat="1" customHeight="1" spans="1:6">
      <c r="A3087" s="9" t="str">
        <f>"10170110325"</f>
        <v>10170110325</v>
      </c>
      <c r="B3087" s="10">
        <v>73.94</v>
      </c>
      <c r="C3087" s="9"/>
      <c r="D3087" s="9">
        <f t="shared" si="48"/>
        <v>73.94</v>
      </c>
      <c r="E3087" s="11"/>
      <c r="F3087" s="9"/>
    </row>
    <row r="3088" s="1" customFormat="1" customHeight="1" spans="1:6">
      <c r="A3088" s="9" t="str">
        <f>"10360110326"</f>
        <v>10360110326</v>
      </c>
      <c r="B3088" s="10">
        <v>36.1</v>
      </c>
      <c r="C3088" s="9"/>
      <c r="D3088" s="9">
        <f t="shared" si="48"/>
        <v>36.1</v>
      </c>
      <c r="E3088" s="11"/>
      <c r="F3088" s="9"/>
    </row>
    <row r="3089" s="1" customFormat="1" customHeight="1" spans="1:6">
      <c r="A3089" s="9" t="str">
        <f>"10360110327"</f>
        <v>10360110327</v>
      </c>
      <c r="B3089" s="10">
        <v>36.14</v>
      </c>
      <c r="C3089" s="9"/>
      <c r="D3089" s="9">
        <f t="shared" si="48"/>
        <v>36.14</v>
      </c>
      <c r="E3089" s="11"/>
      <c r="F3089" s="9"/>
    </row>
    <row r="3090" s="1" customFormat="1" customHeight="1" spans="1:6">
      <c r="A3090" s="9" t="str">
        <f>"10060110328"</f>
        <v>10060110328</v>
      </c>
      <c r="B3090" s="10">
        <v>39.38</v>
      </c>
      <c r="C3090" s="9"/>
      <c r="D3090" s="9">
        <f t="shared" si="48"/>
        <v>39.38</v>
      </c>
      <c r="E3090" s="11"/>
      <c r="F3090" s="9"/>
    </row>
    <row r="3091" s="1" customFormat="1" customHeight="1" spans="1:6">
      <c r="A3091" s="9" t="str">
        <f>"10210110329"</f>
        <v>10210110329</v>
      </c>
      <c r="B3091" s="10">
        <v>76.14</v>
      </c>
      <c r="C3091" s="9"/>
      <c r="D3091" s="9">
        <f t="shared" si="48"/>
        <v>76.14</v>
      </c>
      <c r="E3091" s="11"/>
      <c r="F3091" s="9"/>
    </row>
    <row r="3092" s="1" customFormat="1" customHeight="1" spans="1:6">
      <c r="A3092" s="9" t="str">
        <f>"10230110330"</f>
        <v>10230110330</v>
      </c>
      <c r="B3092" s="10">
        <v>0</v>
      </c>
      <c r="C3092" s="9"/>
      <c r="D3092" s="9">
        <f t="shared" si="48"/>
        <v>0</v>
      </c>
      <c r="E3092" s="11"/>
      <c r="F3092" s="9" t="s">
        <v>7</v>
      </c>
    </row>
    <row r="3093" s="1" customFormat="1" customHeight="1" spans="1:6">
      <c r="A3093" s="9" t="str">
        <f>"10020110401"</f>
        <v>10020110401</v>
      </c>
      <c r="B3093" s="10">
        <v>37.43</v>
      </c>
      <c r="C3093" s="9"/>
      <c r="D3093" s="9">
        <f t="shared" si="48"/>
        <v>37.43</v>
      </c>
      <c r="E3093" s="11"/>
      <c r="F3093" s="9"/>
    </row>
    <row r="3094" s="1" customFormat="1" customHeight="1" spans="1:6">
      <c r="A3094" s="9" t="str">
        <f>"10510110402"</f>
        <v>10510110402</v>
      </c>
      <c r="B3094" s="10">
        <v>42.74</v>
      </c>
      <c r="C3094" s="9"/>
      <c r="D3094" s="9">
        <f t="shared" si="48"/>
        <v>42.74</v>
      </c>
      <c r="E3094" s="11"/>
      <c r="F3094" s="9"/>
    </row>
    <row r="3095" s="1" customFormat="1" customHeight="1" spans="1:6">
      <c r="A3095" s="9" t="str">
        <f>"10330110403"</f>
        <v>10330110403</v>
      </c>
      <c r="B3095" s="10">
        <v>24.61</v>
      </c>
      <c r="C3095" s="9"/>
      <c r="D3095" s="9">
        <f t="shared" si="48"/>
        <v>24.61</v>
      </c>
      <c r="E3095" s="11"/>
      <c r="F3095" s="9"/>
    </row>
    <row r="3096" s="1" customFormat="1" customHeight="1" spans="1:6">
      <c r="A3096" s="9" t="str">
        <f>"10440110404"</f>
        <v>10440110404</v>
      </c>
      <c r="B3096" s="10">
        <v>0</v>
      </c>
      <c r="C3096" s="9"/>
      <c r="D3096" s="9">
        <f t="shared" si="48"/>
        <v>0</v>
      </c>
      <c r="E3096" s="11"/>
      <c r="F3096" s="9" t="s">
        <v>7</v>
      </c>
    </row>
    <row r="3097" s="1" customFormat="1" customHeight="1" spans="1:6">
      <c r="A3097" s="9" t="str">
        <f>"10300110405"</f>
        <v>10300110405</v>
      </c>
      <c r="B3097" s="10">
        <v>32.45</v>
      </c>
      <c r="C3097" s="9"/>
      <c r="D3097" s="9">
        <f t="shared" si="48"/>
        <v>32.45</v>
      </c>
      <c r="E3097" s="11"/>
      <c r="F3097" s="9"/>
    </row>
    <row r="3098" s="1" customFormat="1" customHeight="1" spans="1:6">
      <c r="A3098" s="9" t="str">
        <f>"10360110406"</f>
        <v>10360110406</v>
      </c>
      <c r="B3098" s="10">
        <v>32.95</v>
      </c>
      <c r="C3098" s="9"/>
      <c r="D3098" s="9">
        <f t="shared" si="48"/>
        <v>32.95</v>
      </c>
      <c r="E3098" s="11"/>
      <c r="F3098" s="9"/>
    </row>
    <row r="3099" s="1" customFormat="1" customHeight="1" spans="1:6">
      <c r="A3099" s="9" t="str">
        <f>"10360110407"</f>
        <v>10360110407</v>
      </c>
      <c r="B3099" s="10">
        <v>0</v>
      </c>
      <c r="C3099" s="9"/>
      <c r="D3099" s="9">
        <f t="shared" si="48"/>
        <v>0</v>
      </c>
      <c r="E3099" s="11"/>
      <c r="F3099" s="9" t="s">
        <v>7</v>
      </c>
    </row>
    <row r="3100" s="1" customFormat="1" customHeight="1" spans="1:6">
      <c r="A3100" s="9" t="str">
        <f>"10240110408"</f>
        <v>10240110408</v>
      </c>
      <c r="B3100" s="10">
        <v>0</v>
      </c>
      <c r="C3100" s="9"/>
      <c r="D3100" s="9">
        <f t="shared" si="48"/>
        <v>0</v>
      </c>
      <c r="E3100" s="11"/>
      <c r="F3100" s="9" t="s">
        <v>7</v>
      </c>
    </row>
    <row r="3101" s="1" customFormat="1" customHeight="1" spans="1:6">
      <c r="A3101" s="9" t="str">
        <f>"20270110409"</f>
        <v>20270110409</v>
      </c>
      <c r="B3101" s="10">
        <v>32.62</v>
      </c>
      <c r="C3101" s="9"/>
      <c r="D3101" s="9">
        <f t="shared" si="48"/>
        <v>32.62</v>
      </c>
      <c r="E3101" s="11"/>
      <c r="F3101" s="9"/>
    </row>
    <row r="3102" s="1" customFormat="1" customHeight="1" spans="1:6">
      <c r="A3102" s="9" t="str">
        <f>"10300110410"</f>
        <v>10300110410</v>
      </c>
      <c r="B3102" s="10">
        <v>41.93</v>
      </c>
      <c r="C3102" s="9"/>
      <c r="D3102" s="9">
        <f t="shared" si="48"/>
        <v>41.93</v>
      </c>
      <c r="E3102" s="11"/>
      <c r="F3102" s="9"/>
    </row>
    <row r="3103" s="1" customFormat="1" customHeight="1" spans="1:6">
      <c r="A3103" s="9" t="str">
        <f>"10170110411"</f>
        <v>10170110411</v>
      </c>
      <c r="B3103" s="10">
        <v>48.91</v>
      </c>
      <c r="C3103" s="9"/>
      <c r="D3103" s="9">
        <f t="shared" si="48"/>
        <v>48.91</v>
      </c>
      <c r="E3103" s="11"/>
      <c r="F3103" s="9"/>
    </row>
    <row r="3104" s="1" customFormat="1" customHeight="1" spans="1:6">
      <c r="A3104" s="9" t="str">
        <f>"10360110412"</f>
        <v>10360110412</v>
      </c>
      <c r="B3104" s="10">
        <v>30.55</v>
      </c>
      <c r="C3104" s="9"/>
      <c r="D3104" s="9">
        <f t="shared" si="48"/>
        <v>30.55</v>
      </c>
      <c r="E3104" s="11"/>
      <c r="F3104" s="9"/>
    </row>
    <row r="3105" s="1" customFormat="1" customHeight="1" spans="1:6">
      <c r="A3105" s="9" t="str">
        <f>"10440110413"</f>
        <v>10440110413</v>
      </c>
      <c r="B3105" s="10">
        <v>34.62</v>
      </c>
      <c r="C3105" s="9"/>
      <c r="D3105" s="9">
        <f t="shared" si="48"/>
        <v>34.62</v>
      </c>
      <c r="E3105" s="11"/>
      <c r="F3105" s="9"/>
    </row>
    <row r="3106" s="1" customFormat="1" customHeight="1" spans="1:6">
      <c r="A3106" s="9" t="str">
        <f>"10070110414"</f>
        <v>10070110414</v>
      </c>
      <c r="B3106" s="10">
        <v>43.15</v>
      </c>
      <c r="C3106" s="9"/>
      <c r="D3106" s="9">
        <f t="shared" si="48"/>
        <v>43.15</v>
      </c>
      <c r="E3106" s="11"/>
      <c r="F3106" s="9"/>
    </row>
    <row r="3107" s="1" customFormat="1" customHeight="1" spans="1:6">
      <c r="A3107" s="9" t="str">
        <f>"10360110415"</f>
        <v>10360110415</v>
      </c>
      <c r="B3107" s="10">
        <v>36.26</v>
      </c>
      <c r="C3107" s="9"/>
      <c r="D3107" s="9">
        <f t="shared" si="48"/>
        <v>36.26</v>
      </c>
      <c r="E3107" s="11"/>
      <c r="F3107" s="9"/>
    </row>
    <row r="3108" s="1" customFormat="1" customHeight="1" spans="1:6">
      <c r="A3108" s="9" t="str">
        <f>"10100110416"</f>
        <v>10100110416</v>
      </c>
      <c r="B3108" s="10">
        <v>42.85</v>
      </c>
      <c r="C3108" s="9"/>
      <c r="D3108" s="9">
        <f t="shared" si="48"/>
        <v>42.85</v>
      </c>
      <c r="E3108" s="11"/>
      <c r="F3108" s="9"/>
    </row>
    <row r="3109" s="1" customFormat="1" customHeight="1" spans="1:6">
      <c r="A3109" s="9" t="str">
        <f>"10180110417"</f>
        <v>10180110417</v>
      </c>
      <c r="B3109" s="10">
        <v>40.31</v>
      </c>
      <c r="C3109" s="9"/>
      <c r="D3109" s="9">
        <f t="shared" si="48"/>
        <v>40.31</v>
      </c>
      <c r="E3109" s="11"/>
      <c r="F3109" s="9"/>
    </row>
    <row r="3110" s="1" customFormat="1" customHeight="1" spans="1:6">
      <c r="A3110" s="9" t="str">
        <f>"10130110418"</f>
        <v>10130110418</v>
      </c>
      <c r="B3110" s="10">
        <v>0</v>
      </c>
      <c r="C3110" s="9"/>
      <c r="D3110" s="9">
        <f t="shared" si="48"/>
        <v>0</v>
      </c>
      <c r="E3110" s="11"/>
      <c r="F3110" s="9" t="s">
        <v>7</v>
      </c>
    </row>
    <row r="3111" s="1" customFormat="1" customHeight="1" spans="1:6">
      <c r="A3111" s="9" t="str">
        <f>"10460110419"</f>
        <v>10460110419</v>
      </c>
      <c r="B3111" s="10">
        <v>0</v>
      </c>
      <c r="C3111" s="9"/>
      <c r="D3111" s="9">
        <f t="shared" si="48"/>
        <v>0</v>
      </c>
      <c r="E3111" s="11"/>
      <c r="F3111" s="9" t="s">
        <v>7</v>
      </c>
    </row>
    <row r="3112" s="1" customFormat="1" customHeight="1" spans="1:6">
      <c r="A3112" s="9" t="str">
        <f>"10090110420"</f>
        <v>10090110420</v>
      </c>
      <c r="B3112" s="10">
        <v>43.46</v>
      </c>
      <c r="C3112" s="9"/>
      <c r="D3112" s="9">
        <f t="shared" si="48"/>
        <v>43.46</v>
      </c>
      <c r="E3112" s="11"/>
      <c r="F3112" s="9"/>
    </row>
    <row r="3113" s="1" customFormat="1" customHeight="1" spans="1:6">
      <c r="A3113" s="9" t="str">
        <f>"10140110421"</f>
        <v>10140110421</v>
      </c>
      <c r="B3113" s="10">
        <v>0</v>
      </c>
      <c r="C3113" s="9"/>
      <c r="D3113" s="9">
        <f t="shared" si="48"/>
        <v>0</v>
      </c>
      <c r="E3113" s="11"/>
      <c r="F3113" s="9" t="s">
        <v>7</v>
      </c>
    </row>
    <row r="3114" s="1" customFormat="1" customHeight="1" spans="1:6">
      <c r="A3114" s="9" t="str">
        <f>"10530110422"</f>
        <v>10530110422</v>
      </c>
      <c r="B3114" s="10">
        <v>35.14</v>
      </c>
      <c r="C3114" s="9"/>
      <c r="D3114" s="9">
        <f t="shared" si="48"/>
        <v>35.14</v>
      </c>
      <c r="E3114" s="11"/>
      <c r="F3114" s="9"/>
    </row>
    <row r="3115" s="1" customFormat="1" customHeight="1" spans="1:6">
      <c r="A3115" s="9" t="str">
        <f>"10200110423"</f>
        <v>10200110423</v>
      </c>
      <c r="B3115" s="10">
        <v>0</v>
      </c>
      <c r="C3115" s="9"/>
      <c r="D3115" s="9">
        <f t="shared" si="48"/>
        <v>0</v>
      </c>
      <c r="E3115" s="11"/>
      <c r="F3115" s="9" t="s">
        <v>7</v>
      </c>
    </row>
    <row r="3116" s="1" customFormat="1" customHeight="1" spans="1:6">
      <c r="A3116" s="9" t="str">
        <f>"10130110424"</f>
        <v>10130110424</v>
      </c>
      <c r="B3116" s="10">
        <v>37.27</v>
      </c>
      <c r="C3116" s="9"/>
      <c r="D3116" s="9">
        <f t="shared" si="48"/>
        <v>37.27</v>
      </c>
      <c r="E3116" s="11"/>
      <c r="F3116" s="9"/>
    </row>
    <row r="3117" s="1" customFormat="1" customHeight="1" spans="1:6">
      <c r="A3117" s="9" t="str">
        <f>"10130110425"</f>
        <v>10130110425</v>
      </c>
      <c r="B3117" s="10">
        <v>37.35</v>
      </c>
      <c r="C3117" s="9"/>
      <c r="D3117" s="9">
        <f t="shared" si="48"/>
        <v>37.35</v>
      </c>
      <c r="E3117" s="11"/>
      <c r="F3117" s="9"/>
    </row>
    <row r="3118" s="1" customFormat="1" customHeight="1" spans="1:6">
      <c r="A3118" s="9" t="str">
        <f>"10530110426"</f>
        <v>10530110426</v>
      </c>
      <c r="B3118" s="10">
        <v>40.61</v>
      </c>
      <c r="C3118" s="9"/>
      <c r="D3118" s="9">
        <f t="shared" si="48"/>
        <v>40.61</v>
      </c>
      <c r="E3118" s="11"/>
      <c r="F3118" s="9"/>
    </row>
    <row r="3119" s="1" customFormat="1" customHeight="1" spans="1:6">
      <c r="A3119" s="9" t="str">
        <f>"10360110427"</f>
        <v>10360110427</v>
      </c>
      <c r="B3119" s="10">
        <v>44.78</v>
      </c>
      <c r="C3119" s="9"/>
      <c r="D3119" s="9">
        <f t="shared" si="48"/>
        <v>44.78</v>
      </c>
      <c r="E3119" s="11"/>
      <c r="F3119" s="9"/>
    </row>
    <row r="3120" s="1" customFormat="1" customHeight="1" spans="1:6">
      <c r="A3120" s="9" t="str">
        <f>"10400110428"</f>
        <v>10400110428</v>
      </c>
      <c r="B3120" s="10">
        <v>39.84</v>
      </c>
      <c r="C3120" s="9"/>
      <c r="D3120" s="9">
        <f t="shared" si="48"/>
        <v>39.84</v>
      </c>
      <c r="E3120" s="11"/>
      <c r="F3120" s="9"/>
    </row>
    <row r="3121" s="1" customFormat="1" customHeight="1" spans="1:6">
      <c r="A3121" s="9" t="str">
        <f>"10500110429"</f>
        <v>10500110429</v>
      </c>
      <c r="B3121" s="10">
        <v>0</v>
      </c>
      <c r="C3121" s="9"/>
      <c r="D3121" s="9">
        <f t="shared" si="48"/>
        <v>0</v>
      </c>
      <c r="E3121" s="11"/>
      <c r="F3121" s="9" t="s">
        <v>7</v>
      </c>
    </row>
    <row r="3122" s="1" customFormat="1" customHeight="1" spans="1:6">
      <c r="A3122" s="9" t="str">
        <f>"10360110430"</f>
        <v>10360110430</v>
      </c>
      <c r="B3122" s="10">
        <v>0</v>
      </c>
      <c r="C3122" s="9"/>
      <c r="D3122" s="9">
        <f t="shared" si="48"/>
        <v>0</v>
      </c>
      <c r="E3122" s="11"/>
      <c r="F3122" s="9" t="s">
        <v>7</v>
      </c>
    </row>
    <row r="3123" s="1" customFormat="1" customHeight="1" spans="1:6">
      <c r="A3123" s="9" t="str">
        <f>"10360110501"</f>
        <v>10360110501</v>
      </c>
      <c r="B3123" s="10">
        <v>0</v>
      </c>
      <c r="C3123" s="9"/>
      <c r="D3123" s="9">
        <f t="shared" si="48"/>
        <v>0</v>
      </c>
      <c r="E3123" s="11"/>
      <c r="F3123" s="9" t="s">
        <v>7</v>
      </c>
    </row>
    <row r="3124" s="1" customFormat="1" customHeight="1" spans="1:6">
      <c r="A3124" s="9" t="str">
        <f>"10330110502"</f>
        <v>10330110502</v>
      </c>
      <c r="B3124" s="10">
        <v>36.06</v>
      </c>
      <c r="C3124" s="9"/>
      <c r="D3124" s="9">
        <f t="shared" si="48"/>
        <v>36.06</v>
      </c>
      <c r="E3124" s="11"/>
      <c r="F3124" s="9"/>
    </row>
    <row r="3125" s="1" customFormat="1" customHeight="1" spans="1:6">
      <c r="A3125" s="9" t="str">
        <f>"10150110503"</f>
        <v>10150110503</v>
      </c>
      <c r="B3125" s="10">
        <v>39.36</v>
      </c>
      <c r="C3125" s="9"/>
      <c r="D3125" s="9">
        <f t="shared" si="48"/>
        <v>39.36</v>
      </c>
      <c r="E3125" s="11"/>
      <c r="F3125" s="9"/>
    </row>
    <row r="3126" s="1" customFormat="1" customHeight="1" spans="1:6">
      <c r="A3126" s="9" t="str">
        <f>"10240110504"</f>
        <v>10240110504</v>
      </c>
      <c r="B3126" s="10">
        <v>0</v>
      </c>
      <c r="C3126" s="9"/>
      <c r="D3126" s="9">
        <f t="shared" si="48"/>
        <v>0</v>
      </c>
      <c r="E3126" s="11"/>
      <c r="F3126" s="9" t="s">
        <v>7</v>
      </c>
    </row>
    <row r="3127" s="1" customFormat="1" customHeight="1" spans="1:6">
      <c r="A3127" s="9" t="str">
        <f>"10330110505"</f>
        <v>10330110505</v>
      </c>
      <c r="B3127" s="10">
        <v>34.23</v>
      </c>
      <c r="C3127" s="9"/>
      <c r="D3127" s="9">
        <f t="shared" si="48"/>
        <v>34.23</v>
      </c>
      <c r="E3127" s="11"/>
      <c r="F3127" s="9"/>
    </row>
    <row r="3128" s="1" customFormat="1" customHeight="1" spans="1:6">
      <c r="A3128" s="9" t="str">
        <f>"10060110506"</f>
        <v>10060110506</v>
      </c>
      <c r="B3128" s="10">
        <v>0</v>
      </c>
      <c r="C3128" s="9"/>
      <c r="D3128" s="9">
        <f t="shared" si="48"/>
        <v>0</v>
      </c>
      <c r="E3128" s="11"/>
      <c r="F3128" s="9" t="s">
        <v>7</v>
      </c>
    </row>
    <row r="3129" s="1" customFormat="1" customHeight="1" spans="1:6">
      <c r="A3129" s="9" t="str">
        <f>"10530110507"</f>
        <v>10530110507</v>
      </c>
      <c r="B3129" s="10">
        <v>37.11</v>
      </c>
      <c r="C3129" s="9"/>
      <c r="D3129" s="9">
        <f t="shared" si="48"/>
        <v>37.11</v>
      </c>
      <c r="E3129" s="11"/>
      <c r="F3129" s="9"/>
    </row>
    <row r="3130" s="1" customFormat="1" customHeight="1" spans="1:6">
      <c r="A3130" s="9" t="str">
        <f>"10110110508"</f>
        <v>10110110508</v>
      </c>
      <c r="B3130" s="10">
        <v>28.52</v>
      </c>
      <c r="C3130" s="9"/>
      <c r="D3130" s="9">
        <f t="shared" si="48"/>
        <v>28.52</v>
      </c>
      <c r="E3130" s="11"/>
      <c r="F3130" s="9"/>
    </row>
    <row r="3131" s="1" customFormat="1" customHeight="1" spans="1:6">
      <c r="A3131" s="9" t="str">
        <f>"10330110509"</f>
        <v>10330110509</v>
      </c>
      <c r="B3131" s="10">
        <v>42.89</v>
      </c>
      <c r="C3131" s="9"/>
      <c r="D3131" s="9">
        <f t="shared" si="48"/>
        <v>42.89</v>
      </c>
      <c r="E3131" s="11"/>
      <c r="F3131" s="9"/>
    </row>
    <row r="3132" s="1" customFormat="1" customHeight="1" spans="1:6">
      <c r="A3132" s="9" t="str">
        <f>"10490110510"</f>
        <v>10490110510</v>
      </c>
      <c r="B3132" s="10">
        <v>44.15</v>
      </c>
      <c r="C3132" s="9"/>
      <c r="D3132" s="9">
        <f t="shared" si="48"/>
        <v>44.15</v>
      </c>
      <c r="E3132" s="11"/>
      <c r="F3132" s="9"/>
    </row>
    <row r="3133" s="1" customFormat="1" customHeight="1" spans="1:6">
      <c r="A3133" s="9" t="str">
        <f>"10130110511"</f>
        <v>10130110511</v>
      </c>
      <c r="B3133" s="10">
        <v>0</v>
      </c>
      <c r="C3133" s="9"/>
      <c r="D3133" s="9">
        <f t="shared" si="48"/>
        <v>0</v>
      </c>
      <c r="E3133" s="11"/>
      <c r="F3133" s="9" t="s">
        <v>7</v>
      </c>
    </row>
    <row r="3134" s="1" customFormat="1" customHeight="1" spans="1:6">
      <c r="A3134" s="9" t="str">
        <f>"10530110512"</f>
        <v>10530110512</v>
      </c>
      <c r="B3134" s="10">
        <v>46.88</v>
      </c>
      <c r="C3134" s="9"/>
      <c r="D3134" s="9">
        <f t="shared" si="48"/>
        <v>46.88</v>
      </c>
      <c r="E3134" s="11"/>
      <c r="F3134" s="9"/>
    </row>
    <row r="3135" s="1" customFormat="1" customHeight="1" spans="1:6">
      <c r="A3135" s="9" t="str">
        <f>"10230110513"</f>
        <v>10230110513</v>
      </c>
      <c r="B3135" s="10">
        <v>0</v>
      </c>
      <c r="C3135" s="9"/>
      <c r="D3135" s="9">
        <f t="shared" si="48"/>
        <v>0</v>
      </c>
      <c r="E3135" s="11"/>
      <c r="F3135" s="9" t="s">
        <v>7</v>
      </c>
    </row>
    <row r="3136" s="1" customFormat="1" customHeight="1" spans="1:6">
      <c r="A3136" s="9" t="str">
        <f>"10360110514"</f>
        <v>10360110514</v>
      </c>
      <c r="B3136" s="10">
        <v>37.12</v>
      </c>
      <c r="C3136" s="9"/>
      <c r="D3136" s="9">
        <f t="shared" si="48"/>
        <v>37.12</v>
      </c>
      <c r="E3136" s="11"/>
      <c r="F3136" s="9"/>
    </row>
    <row r="3137" s="1" customFormat="1" customHeight="1" spans="1:6">
      <c r="A3137" s="9" t="str">
        <f>"10060110515"</f>
        <v>10060110515</v>
      </c>
      <c r="B3137" s="10">
        <v>38.75</v>
      </c>
      <c r="C3137" s="9"/>
      <c r="D3137" s="9">
        <f t="shared" si="48"/>
        <v>38.75</v>
      </c>
      <c r="E3137" s="11"/>
      <c r="F3137" s="9"/>
    </row>
    <row r="3138" s="1" customFormat="1" customHeight="1" spans="1:6">
      <c r="A3138" s="9" t="str">
        <f>"10280110516"</f>
        <v>10280110516</v>
      </c>
      <c r="B3138" s="10">
        <v>46.97</v>
      </c>
      <c r="C3138" s="9"/>
      <c r="D3138" s="9">
        <f t="shared" si="48"/>
        <v>46.97</v>
      </c>
      <c r="E3138" s="11"/>
      <c r="F3138" s="9"/>
    </row>
    <row r="3139" s="1" customFormat="1" customHeight="1" spans="1:6">
      <c r="A3139" s="9" t="str">
        <f>"10360110517"</f>
        <v>10360110517</v>
      </c>
      <c r="B3139" s="10">
        <v>0</v>
      </c>
      <c r="C3139" s="9"/>
      <c r="D3139" s="9">
        <f t="shared" ref="D3139:D3202" si="49">SUM(B3139:C3139)</f>
        <v>0</v>
      </c>
      <c r="E3139" s="11"/>
      <c r="F3139" s="9" t="s">
        <v>7</v>
      </c>
    </row>
    <row r="3140" s="1" customFormat="1" customHeight="1" spans="1:6">
      <c r="A3140" s="9" t="str">
        <f>"10010110518"</f>
        <v>10010110518</v>
      </c>
      <c r="B3140" s="10">
        <v>42.47</v>
      </c>
      <c r="C3140" s="9"/>
      <c r="D3140" s="9">
        <f t="shared" si="49"/>
        <v>42.47</v>
      </c>
      <c r="E3140" s="11"/>
      <c r="F3140" s="9"/>
    </row>
    <row r="3141" s="1" customFormat="1" customHeight="1" spans="1:6">
      <c r="A3141" s="9" t="str">
        <f>"10300110519"</f>
        <v>10300110519</v>
      </c>
      <c r="B3141" s="10">
        <v>0</v>
      </c>
      <c r="C3141" s="9"/>
      <c r="D3141" s="9">
        <f t="shared" si="49"/>
        <v>0</v>
      </c>
      <c r="E3141" s="11"/>
      <c r="F3141" s="9" t="s">
        <v>7</v>
      </c>
    </row>
    <row r="3142" s="1" customFormat="1" customHeight="1" spans="1:6">
      <c r="A3142" s="9" t="str">
        <f>"10360110520"</f>
        <v>10360110520</v>
      </c>
      <c r="B3142" s="10">
        <v>0</v>
      </c>
      <c r="C3142" s="9"/>
      <c r="D3142" s="9">
        <f t="shared" si="49"/>
        <v>0</v>
      </c>
      <c r="E3142" s="11"/>
      <c r="F3142" s="9" t="s">
        <v>7</v>
      </c>
    </row>
    <row r="3143" s="1" customFormat="1" customHeight="1" spans="1:6">
      <c r="A3143" s="9" t="str">
        <f>"10340110521"</f>
        <v>10340110521</v>
      </c>
      <c r="B3143" s="10">
        <v>38.77</v>
      </c>
      <c r="C3143" s="9"/>
      <c r="D3143" s="9">
        <f t="shared" si="49"/>
        <v>38.77</v>
      </c>
      <c r="E3143" s="11"/>
      <c r="F3143" s="9"/>
    </row>
    <row r="3144" s="1" customFormat="1" customHeight="1" spans="1:6">
      <c r="A3144" s="9" t="str">
        <f>"10530110522"</f>
        <v>10530110522</v>
      </c>
      <c r="B3144" s="10">
        <v>49.31</v>
      </c>
      <c r="C3144" s="9"/>
      <c r="D3144" s="9">
        <f t="shared" si="49"/>
        <v>49.31</v>
      </c>
      <c r="E3144" s="11"/>
      <c r="F3144" s="9"/>
    </row>
    <row r="3145" s="1" customFormat="1" customHeight="1" spans="1:6">
      <c r="A3145" s="9" t="str">
        <f>"10070110523"</f>
        <v>10070110523</v>
      </c>
      <c r="B3145" s="10">
        <v>38.79</v>
      </c>
      <c r="C3145" s="9"/>
      <c r="D3145" s="9">
        <f t="shared" si="49"/>
        <v>38.79</v>
      </c>
      <c r="E3145" s="11"/>
      <c r="F3145" s="9"/>
    </row>
    <row r="3146" s="1" customFormat="1" customHeight="1" spans="1:6">
      <c r="A3146" s="9" t="str">
        <f>"10290110524"</f>
        <v>10290110524</v>
      </c>
      <c r="B3146" s="10">
        <v>33.58</v>
      </c>
      <c r="C3146" s="9"/>
      <c r="D3146" s="9">
        <f t="shared" si="49"/>
        <v>33.58</v>
      </c>
      <c r="E3146" s="11"/>
      <c r="F3146" s="9"/>
    </row>
    <row r="3147" s="1" customFormat="1" customHeight="1" spans="1:6">
      <c r="A3147" s="9" t="str">
        <f>"10510110525"</f>
        <v>10510110525</v>
      </c>
      <c r="B3147" s="10">
        <v>51.4</v>
      </c>
      <c r="C3147" s="9"/>
      <c r="D3147" s="9">
        <f t="shared" si="49"/>
        <v>51.4</v>
      </c>
      <c r="E3147" s="11"/>
      <c r="F3147" s="9"/>
    </row>
    <row r="3148" s="1" customFormat="1" customHeight="1" spans="1:6">
      <c r="A3148" s="9" t="str">
        <f>"10360110526"</f>
        <v>10360110526</v>
      </c>
      <c r="B3148" s="10">
        <v>36.98</v>
      </c>
      <c r="C3148" s="9"/>
      <c r="D3148" s="9">
        <f t="shared" si="49"/>
        <v>36.98</v>
      </c>
      <c r="E3148" s="11"/>
      <c r="F3148" s="9"/>
    </row>
    <row r="3149" s="1" customFormat="1" customHeight="1" spans="1:6">
      <c r="A3149" s="9" t="str">
        <f>"10310110527"</f>
        <v>10310110527</v>
      </c>
      <c r="B3149" s="10">
        <v>42.49</v>
      </c>
      <c r="C3149" s="9"/>
      <c r="D3149" s="9">
        <f t="shared" si="49"/>
        <v>42.49</v>
      </c>
      <c r="E3149" s="11"/>
      <c r="F3149" s="9"/>
    </row>
    <row r="3150" s="1" customFormat="1" customHeight="1" spans="1:6">
      <c r="A3150" s="9" t="str">
        <f>"10360110528"</f>
        <v>10360110528</v>
      </c>
      <c r="B3150" s="10">
        <v>42.04</v>
      </c>
      <c r="C3150" s="9"/>
      <c r="D3150" s="9">
        <f t="shared" si="49"/>
        <v>42.04</v>
      </c>
      <c r="E3150" s="11"/>
      <c r="F3150" s="9"/>
    </row>
    <row r="3151" s="1" customFormat="1" customHeight="1" spans="1:6">
      <c r="A3151" s="9" t="str">
        <f>"10470110529"</f>
        <v>10470110529</v>
      </c>
      <c r="B3151" s="10">
        <v>45.82</v>
      </c>
      <c r="C3151" s="9"/>
      <c r="D3151" s="9">
        <f t="shared" si="49"/>
        <v>45.82</v>
      </c>
      <c r="E3151" s="11"/>
      <c r="F3151" s="9"/>
    </row>
    <row r="3152" s="1" customFormat="1" customHeight="1" spans="1:6">
      <c r="A3152" s="9" t="str">
        <f>"10080110530"</f>
        <v>10080110530</v>
      </c>
      <c r="B3152" s="10">
        <v>0</v>
      </c>
      <c r="C3152" s="9"/>
      <c r="D3152" s="9">
        <f t="shared" si="49"/>
        <v>0</v>
      </c>
      <c r="E3152" s="11"/>
      <c r="F3152" s="9" t="s">
        <v>7</v>
      </c>
    </row>
    <row r="3153" s="1" customFormat="1" customHeight="1" spans="1:6">
      <c r="A3153" s="9" t="str">
        <f>"10510110601"</f>
        <v>10510110601</v>
      </c>
      <c r="B3153" s="10">
        <v>37.38</v>
      </c>
      <c r="C3153" s="9"/>
      <c r="D3153" s="9">
        <f t="shared" si="49"/>
        <v>37.38</v>
      </c>
      <c r="E3153" s="11"/>
      <c r="F3153" s="9"/>
    </row>
    <row r="3154" s="1" customFormat="1" customHeight="1" spans="1:6">
      <c r="A3154" s="9" t="str">
        <f>"10200110602"</f>
        <v>10200110602</v>
      </c>
      <c r="B3154" s="10">
        <v>61.72</v>
      </c>
      <c r="C3154" s="9"/>
      <c r="D3154" s="9">
        <f t="shared" si="49"/>
        <v>61.72</v>
      </c>
      <c r="E3154" s="11"/>
      <c r="F3154" s="9"/>
    </row>
    <row r="3155" s="1" customFormat="1" customHeight="1" spans="1:6">
      <c r="A3155" s="9" t="str">
        <f>"10380110603"</f>
        <v>10380110603</v>
      </c>
      <c r="B3155" s="10">
        <v>0</v>
      </c>
      <c r="C3155" s="9"/>
      <c r="D3155" s="9">
        <f t="shared" si="49"/>
        <v>0</v>
      </c>
      <c r="E3155" s="11"/>
      <c r="F3155" s="9" t="s">
        <v>7</v>
      </c>
    </row>
    <row r="3156" s="1" customFormat="1" customHeight="1" spans="1:6">
      <c r="A3156" s="9" t="str">
        <f>"10360110604"</f>
        <v>10360110604</v>
      </c>
      <c r="B3156" s="10">
        <v>40.85</v>
      </c>
      <c r="C3156" s="9"/>
      <c r="D3156" s="9">
        <f t="shared" si="49"/>
        <v>40.85</v>
      </c>
      <c r="E3156" s="11"/>
      <c r="F3156" s="9"/>
    </row>
    <row r="3157" s="1" customFormat="1" customHeight="1" spans="1:6">
      <c r="A3157" s="9" t="str">
        <f>"10060110605"</f>
        <v>10060110605</v>
      </c>
      <c r="B3157" s="10">
        <v>0</v>
      </c>
      <c r="C3157" s="9"/>
      <c r="D3157" s="9">
        <f t="shared" si="49"/>
        <v>0</v>
      </c>
      <c r="E3157" s="11"/>
      <c r="F3157" s="9" t="s">
        <v>7</v>
      </c>
    </row>
    <row r="3158" s="1" customFormat="1" customHeight="1" spans="1:6">
      <c r="A3158" s="9" t="str">
        <f>"10360110606"</f>
        <v>10360110606</v>
      </c>
      <c r="B3158" s="10">
        <v>0</v>
      </c>
      <c r="C3158" s="9"/>
      <c r="D3158" s="9">
        <f t="shared" si="49"/>
        <v>0</v>
      </c>
      <c r="E3158" s="11"/>
      <c r="F3158" s="9" t="s">
        <v>7</v>
      </c>
    </row>
    <row r="3159" s="1" customFormat="1" customHeight="1" spans="1:6">
      <c r="A3159" s="9" t="str">
        <f>"10060110607"</f>
        <v>10060110607</v>
      </c>
      <c r="B3159" s="10">
        <v>0</v>
      </c>
      <c r="C3159" s="9"/>
      <c r="D3159" s="9">
        <f t="shared" si="49"/>
        <v>0</v>
      </c>
      <c r="E3159" s="11"/>
      <c r="F3159" s="9" t="s">
        <v>7</v>
      </c>
    </row>
    <row r="3160" s="1" customFormat="1" customHeight="1" spans="1:6">
      <c r="A3160" s="9" t="str">
        <f>"10360110608"</f>
        <v>10360110608</v>
      </c>
      <c r="B3160" s="10">
        <v>32.41</v>
      </c>
      <c r="C3160" s="9"/>
      <c r="D3160" s="9">
        <f t="shared" si="49"/>
        <v>32.41</v>
      </c>
      <c r="E3160" s="11"/>
      <c r="F3160" s="9"/>
    </row>
    <row r="3161" s="1" customFormat="1" customHeight="1" spans="1:6">
      <c r="A3161" s="9" t="str">
        <f>"10360110609"</f>
        <v>10360110609</v>
      </c>
      <c r="B3161" s="10">
        <v>0</v>
      </c>
      <c r="C3161" s="9"/>
      <c r="D3161" s="9">
        <f t="shared" si="49"/>
        <v>0</v>
      </c>
      <c r="E3161" s="11"/>
      <c r="F3161" s="9" t="s">
        <v>7</v>
      </c>
    </row>
    <row r="3162" s="1" customFormat="1" customHeight="1" spans="1:6">
      <c r="A3162" s="9" t="str">
        <f>"10320110610"</f>
        <v>10320110610</v>
      </c>
      <c r="B3162" s="10">
        <v>49.71</v>
      </c>
      <c r="C3162" s="9"/>
      <c r="D3162" s="9">
        <f t="shared" si="49"/>
        <v>49.71</v>
      </c>
      <c r="E3162" s="11"/>
      <c r="F3162" s="9"/>
    </row>
    <row r="3163" s="1" customFormat="1" customHeight="1" spans="1:6">
      <c r="A3163" s="9" t="str">
        <f>"10320110611"</f>
        <v>10320110611</v>
      </c>
      <c r="B3163" s="10">
        <v>34.32</v>
      </c>
      <c r="C3163" s="9"/>
      <c r="D3163" s="9">
        <f t="shared" si="49"/>
        <v>34.32</v>
      </c>
      <c r="E3163" s="11"/>
      <c r="F3163" s="9"/>
    </row>
    <row r="3164" s="1" customFormat="1" customHeight="1" spans="1:6">
      <c r="A3164" s="9" t="str">
        <f>"10300110612"</f>
        <v>10300110612</v>
      </c>
      <c r="B3164" s="10">
        <v>41.81</v>
      </c>
      <c r="C3164" s="9"/>
      <c r="D3164" s="9">
        <f t="shared" si="49"/>
        <v>41.81</v>
      </c>
      <c r="E3164" s="11"/>
      <c r="F3164" s="9"/>
    </row>
    <row r="3165" s="1" customFormat="1" customHeight="1" spans="1:6">
      <c r="A3165" s="9" t="str">
        <f>"10510110613"</f>
        <v>10510110613</v>
      </c>
      <c r="B3165" s="10">
        <v>37.81</v>
      </c>
      <c r="C3165" s="9"/>
      <c r="D3165" s="9">
        <f t="shared" si="49"/>
        <v>37.81</v>
      </c>
      <c r="E3165" s="11"/>
      <c r="F3165" s="9"/>
    </row>
    <row r="3166" s="1" customFormat="1" customHeight="1" spans="1:6">
      <c r="A3166" s="9" t="str">
        <f>"10110110614"</f>
        <v>10110110614</v>
      </c>
      <c r="B3166" s="10">
        <v>0</v>
      </c>
      <c r="C3166" s="9"/>
      <c r="D3166" s="9">
        <f t="shared" si="49"/>
        <v>0</v>
      </c>
      <c r="E3166" s="11"/>
      <c r="F3166" s="9" t="s">
        <v>7</v>
      </c>
    </row>
    <row r="3167" s="1" customFormat="1" customHeight="1" spans="1:6">
      <c r="A3167" s="9" t="str">
        <f>"10120110615"</f>
        <v>10120110615</v>
      </c>
      <c r="B3167" s="10">
        <v>50.82</v>
      </c>
      <c r="C3167" s="9">
        <v>10</v>
      </c>
      <c r="D3167" s="9">
        <f t="shared" si="49"/>
        <v>60.82</v>
      </c>
      <c r="E3167" s="12" t="s">
        <v>8</v>
      </c>
      <c r="F3167" s="9"/>
    </row>
    <row r="3168" s="1" customFormat="1" customHeight="1" spans="1:6">
      <c r="A3168" s="9" t="str">
        <f>"10360110616"</f>
        <v>10360110616</v>
      </c>
      <c r="B3168" s="10">
        <v>0</v>
      </c>
      <c r="C3168" s="9"/>
      <c r="D3168" s="9">
        <f t="shared" si="49"/>
        <v>0</v>
      </c>
      <c r="E3168" s="11"/>
      <c r="F3168" s="9" t="s">
        <v>7</v>
      </c>
    </row>
    <row r="3169" s="1" customFormat="1" customHeight="1" spans="1:6">
      <c r="A3169" s="9" t="str">
        <f>"10360110617"</f>
        <v>10360110617</v>
      </c>
      <c r="B3169" s="10">
        <v>34.79</v>
      </c>
      <c r="C3169" s="9"/>
      <c r="D3169" s="9">
        <f t="shared" si="49"/>
        <v>34.79</v>
      </c>
      <c r="E3169" s="11"/>
      <c r="F3169" s="9"/>
    </row>
    <row r="3170" s="1" customFormat="1" customHeight="1" spans="1:6">
      <c r="A3170" s="9" t="str">
        <f>"10510110618"</f>
        <v>10510110618</v>
      </c>
      <c r="B3170" s="10">
        <v>0</v>
      </c>
      <c r="C3170" s="9"/>
      <c r="D3170" s="9">
        <f t="shared" si="49"/>
        <v>0</v>
      </c>
      <c r="E3170" s="11"/>
      <c r="F3170" s="9" t="s">
        <v>7</v>
      </c>
    </row>
    <row r="3171" s="1" customFormat="1" customHeight="1" spans="1:6">
      <c r="A3171" s="9" t="str">
        <f>"10360110619"</f>
        <v>10360110619</v>
      </c>
      <c r="B3171" s="10">
        <v>38.17</v>
      </c>
      <c r="C3171" s="9"/>
      <c r="D3171" s="9">
        <f t="shared" si="49"/>
        <v>38.17</v>
      </c>
      <c r="E3171" s="11"/>
      <c r="F3171" s="9"/>
    </row>
    <row r="3172" s="1" customFormat="1" customHeight="1" spans="1:6">
      <c r="A3172" s="9" t="str">
        <f>"10530110620"</f>
        <v>10530110620</v>
      </c>
      <c r="B3172" s="10">
        <v>49.69</v>
      </c>
      <c r="C3172" s="9"/>
      <c r="D3172" s="9">
        <f t="shared" si="49"/>
        <v>49.69</v>
      </c>
      <c r="E3172" s="11"/>
      <c r="F3172" s="9"/>
    </row>
    <row r="3173" s="1" customFormat="1" customHeight="1" spans="1:6">
      <c r="A3173" s="9" t="str">
        <f>"10440110621"</f>
        <v>10440110621</v>
      </c>
      <c r="B3173" s="10">
        <v>49.4</v>
      </c>
      <c r="C3173" s="9"/>
      <c r="D3173" s="9">
        <f t="shared" si="49"/>
        <v>49.4</v>
      </c>
      <c r="E3173" s="11"/>
      <c r="F3173" s="9"/>
    </row>
    <row r="3174" s="1" customFormat="1" customHeight="1" spans="1:6">
      <c r="A3174" s="9" t="str">
        <f>"10100110622"</f>
        <v>10100110622</v>
      </c>
      <c r="B3174" s="10">
        <v>42.91</v>
      </c>
      <c r="C3174" s="9"/>
      <c r="D3174" s="9">
        <f t="shared" si="49"/>
        <v>42.91</v>
      </c>
      <c r="E3174" s="11"/>
      <c r="F3174" s="9"/>
    </row>
    <row r="3175" s="1" customFormat="1" customHeight="1" spans="1:6">
      <c r="A3175" s="9" t="str">
        <f>"10080110623"</f>
        <v>10080110623</v>
      </c>
      <c r="B3175" s="10">
        <v>0</v>
      </c>
      <c r="C3175" s="9"/>
      <c r="D3175" s="9">
        <f t="shared" si="49"/>
        <v>0</v>
      </c>
      <c r="E3175" s="11"/>
      <c r="F3175" s="9" t="s">
        <v>7</v>
      </c>
    </row>
    <row r="3176" s="1" customFormat="1" customHeight="1" spans="1:6">
      <c r="A3176" s="9" t="str">
        <f>"10530110624"</f>
        <v>10530110624</v>
      </c>
      <c r="B3176" s="10">
        <v>33.59</v>
      </c>
      <c r="C3176" s="9">
        <v>10</v>
      </c>
      <c r="D3176" s="9">
        <f t="shared" si="49"/>
        <v>43.59</v>
      </c>
      <c r="E3176" s="12" t="s">
        <v>8</v>
      </c>
      <c r="F3176" s="9"/>
    </row>
    <row r="3177" s="1" customFormat="1" customHeight="1" spans="1:6">
      <c r="A3177" s="9" t="str">
        <f>"10080110625"</f>
        <v>10080110625</v>
      </c>
      <c r="B3177" s="10">
        <v>50.83</v>
      </c>
      <c r="C3177" s="9"/>
      <c r="D3177" s="9">
        <f t="shared" si="49"/>
        <v>50.83</v>
      </c>
      <c r="E3177" s="11"/>
      <c r="F3177" s="9"/>
    </row>
    <row r="3178" s="1" customFormat="1" customHeight="1" spans="1:6">
      <c r="A3178" s="9" t="str">
        <f>"10060110626"</f>
        <v>10060110626</v>
      </c>
      <c r="B3178" s="10">
        <v>0</v>
      </c>
      <c r="C3178" s="9"/>
      <c r="D3178" s="9">
        <f t="shared" si="49"/>
        <v>0</v>
      </c>
      <c r="E3178" s="11"/>
      <c r="F3178" s="9" t="s">
        <v>7</v>
      </c>
    </row>
    <row r="3179" s="1" customFormat="1" customHeight="1" spans="1:6">
      <c r="A3179" s="9" t="str">
        <f>"10300110627"</f>
        <v>10300110627</v>
      </c>
      <c r="B3179" s="10">
        <v>0</v>
      </c>
      <c r="C3179" s="9"/>
      <c r="D3179" s="9">
        <f t="shared" si="49"/>
        <v>0</v>
      </c>
      <c r="E3179" s="11"/>
      <c r="F3179" s="9" t="s">
        <v>7</v>
      </c>
    </row>
    <row r="3180" s="1" customFormat="1" customHeight="1" spans="1:6">
      <c r="A3180" s="9" t="str">
        <f>"10080110628"</f>
        <v>10080110628</v>
      </c>
      <c r="B3180" s="10">
        <v>0</v>
      </c>
      <c r="C3180" s="9"/>
      <c r="D3180" s="9">
        <f t="shared" si="49"/>
        <v>0</v>
      </c>
      <c r="E3180" s="11"/>
      <c r="F3180" s="9" t="s">
        <v>7</v>
      </c>
    </row>
    <row r="3181" s="1" customFormat="1" customHeight="1" spans="1:6">
      <c r="A3181" s="9" t="str">
        <f>"10110110629"</f>
        <v>10110110629</v>
      </c>
      <c r="B3181" s="10">
        <v>0</v>
      </c>
      <c r="C3181" s="9"/>
      <c r="D3181" s="9">
        <f t="shared" si="49"/>
        <v>0</v>
      </c>
      <c r="E3181" s="11"/>
      <c r="F3181" s="9" t="s">
        <v>7</v>
      </c>
    </row>
    <row r="3182" s="1" customFormat="1" customHeight="1" spans="1:6">
      <c r="A3182" s="9" t="str">
        <f>"10360110630"</f>
        <v>10360110630</v>
      </c>
      <c r="B3182" s="10">
        <v>40.8</v>
      </c>
      <c r="C3182" s="9"/>
      <c r="D3182" s="9">
        <f t="shared" si="49"/>
        <v>40.8</v>
      </c>
      <c r="E3182" s="11"/>
      <c r="F3182" s="9"/>
    </row>
    <row r="3183" s="1" customFormat="1" customHeight="1" spans="1:6">
      <c r="A3183" s="9" t="str">
        <f>"10360110701"</f>
        <v>10360110701</v>
      </c>
      <c r="B3183" s="10">
        <v>31.04</v>
      </c>
      <c r="C3183" s="9"/>
      <c r="D3183" s="9">
        <f t="shared" si="49"/>
        <v>31.04</v>
      </c>
      <c r="E3183" s="11"/>
      <c r="F3183" s="9"/>
    </row>
    <row r="3184" s="1" customFormat="1" customHeight="1" spans="1:6">
      <c r="A3184" s="9" t="str">
        <f>"10080110702"</f>
        <v>10080110702</v>
      </c>
      <c r="B3184" s="10">
        <v>34.46</v>
      </c>
      <c r="C3184" s="9"/>
      <c r="D3184" s="9">
        <f t="shared" si="49"/>
        <v>34.46</v>
      </c>
      <c r="E3184" s="11"/>
      <c r="F3184" s="9"/>
    </row>
    <row r="3185" s="1" customFormat="1" customHeight="1" spans="1:6">
      <c r="A3185" s="9" t="str">
        <f>"10360110703"</f>
        <v>10360110703</v>
      </c>
      <c r="B3185" s="10">
        <v>0</v>
      </c>
      <c r="C3185" s="9"/>
      <c r="D3185" s="9">
        <f t="shared" si="49"/>
        <v>0</v>
      </c>
      <c r="E3185" s="11"/>
      <c r="F3185" s="9" t="s">
        <v>7</v>
      </c>
    </row>
    <row r="3186" s="1" customFormat="1" customHeight="1" spans="1:6">
      <c r="A3186" s="9" t="str">
        <f>"10240110704"</f>
        <v>10240110704</v>
      </c>
      <c r="B3186" s="10">
        <v>0</v>
      </c>
      <c r="C3186" s="9"/>
      <c r="D3186" s="9">
        <f t="shared" si="49"/>
        <v>0</v>
      </c>
      <c r="E3186" s="11"/>
      <c r="F3186" s="9" t="s">
        <v>7</v>
      </c>
    </row>
    <row r="3187" s="1" customFormat="1" customHeight="1" spans="1:6">
      <c r="A3187" s="9" t="str">
        <f>"10360110705"</f>
        <v>10360110705</v>
      </c>
      <c r="B3187" s="10">
        <v>0</v>
      </c>
      <c r="C3187" s="9"/>
      <c r="D3187" s="9">
        <f t="shared" si="49"/>
        <v>0</v>
      </c>
      <c r="E3187" s="11"/>
      <c r="F3187" s="9" t="s">
        <v>7</v>
      </c>
    </row>
    <row r="3188" s="1" customFormat="1" customHeight="1" spans="1:6">
      <c r="A3188" s="9" t="str">
        <f>"10530110706"</f>
        <v>10530110706</v>
      </c>
      <c r="B3188" s="10">
        <v>39.29</v>
      </c>
      <c r="C3188" s="9"/>
      <c r="D3188" s="9">
        <f t="shared" si="49"/>
        <v>39.29</v>
      </c>
      <c r="E3188" s="11"/>
      <c r="F3188" s="9"/>
    </row>
    <row r="3189" s="1" customFormat="1" customHeight="1" spans="1:6">
      <c r="A3189" s="9" t="str">
        <f>"10210110707"</f>
        <v>10210110707</v>
      </c>
      <c r="B3189" s="10">
        <v>44.15</v>
      </c>
      <c r="C3189" s="9"/>
      <c r="D3189" s="9">
        <f t="shared" si="49"/>
        <v>44.15</v>
      </c>
      <c r="E3189" s="11"/>
      <c r="F3189" s="9"/>
    </row>
    <row r="3190" s="1" customFormat="1" customHeight="1" spans="1:6">
      <c r="A3190" s="9" t="str">
        <f>"10360110708"</f>
        <v>10360110708</v>
      </c>
      <c r="B3190" s="10">
        <v>51.26</v>
      </c>
      <c r="C3190" s="9">
        <v>10</v>
      </c>
      <c r="D3190" s="9">
        <f t="shared" si="49"/>
        <v>61.26</v>
      </c>
      <c r="E3190" s="12" t="s">
        <v>8</v>
      </c>
      <c r="F3190" s="9"/>
    </row>
    <row r="3191" s="1" customFormat="1" customHeight="1" spans="1:6">
      <c r="A3191" s="9" t="str">
        <f>"10360110709"</f>
        <v>10360110709</v>
      </c>
      <c r="B3191" s="10">
        <v>0</v>
      </c>
      <c r="C3191" s="9"/>
      <c r="D3191" s="9">
        <f t="shared" si="49"/>
        <v>0</v>
      </c>
      <c r="E3191" s="11"/>
      <c r="F3191" s="9" t="s">
        <v>7</v>
      </c>
    </row>
    <row r="3192" s="1" customFormat="1" customHeight="1" spans="1:6">
      <c r="A3192" s="9" t="str">
        <f>"10090110710"</f>
        <v>10090110710</v>
      </c>
      <c r="B3192" s="10">
        <v>0</v>
      </c>
      <c r="C3192" s="9"/>
      <c r="D3192" s="9">
        <f t="shared" si="49"/>
        <v>0</v>
      </c>
      <c r="E3192" s="11"/>
      <c r="F3192" s="9" t="s">
        <v>7</v>
      </c>
    </row>
    <row r="3193" s="1" customFormat="1" customHeight="1" spans="1:6">
      <c r="A3193" s="9" t="str">
        <f>"10060110711"</f>
        <v>10060110711</v>
      </c>
      <c r="B3193" s="10">
        <v>38.78</v>
      </c>
      <c r="C3193" s="9"/>
      <c r="D3193" s="9">
        <f t="shared" si="49"/>
        <v>38.78</v>
      </c>
      <c r="E3193" s="11"/>
      <c r="F3193" s="9"/>
    </row>
    <row r="3194" s="1" customFormat="1" customHeight="1" spans="1:6">
      <c r="A3194" s="9" t="str">
        <f>"10360110712"</f>
        <v>10360110712</v>
      </c>
      <c r="B3194" s="10">
        <v>46.57</v>
      </c>
      <c r="C3194" s="9"/>
      <c r="D3194" s="9">
        <f t="shared" si="49"/>
        <v>46.57</v>
      </c>
      <c r="E3194" s="11"/>
      <c r="F3194" s="9"/>
    </row>
    <row r="3195" s="1" customFormat="1" customHeight="1" spans="1:6">
      <c r="A3195" s="9" t="str">
        <f>"10020110713"</f>
        <v>10020110713</v>
      </c>
      <c r="B3195" s="10">
        <v>49.03</v>
      </c>
      <c r="C3195" s="9"/>
      <c r="D3195" s="9">
        <f t="shared" si="49"/>
        <v>49.03</v>
      </c>
      <c r="E3195" s="11"/>
      <c r="F3195" s="9"/>
    </row>
    <row r="3196" s="1" customFormat="1" customHeight="1" spans="1:6">
      <c r="A3196" s="9" t="str">
        <f>"10500110714"</f>
        <v>10500110714</v>
      </c>
      <c r="B3196" s="10">
        <v>0</v>
      </c>
      <c r="C3196" s="9"/>
      <c r="D3196" s="9">
        <f t="shared" si="49"/>
        <v>0</v>
      </c>
      <c r="E3196" s="11"/>
      <c r="F3196" s="9" t="s">
        <v>7</v>
      </c>
    </row>
    <row r="3197" s="1" customFormat="1" customHeight="1" spans="1:6">
      <c r="A3197" s="9" t="str">
        <f>"10530110715"</f>
        <v>10530110715</v>
      </c>
      <c r="B3197" s="10">
        <v>0</v>
      </c>
      <c r="C3197" s="9"/>
      <c r="D3197" s="9">
        <f t="shared" si="49"/>
        <v>0</v>
      </c>
      <c r="E3197" s="11"/>
      <c r="F3197" s="9" t="s">
        <v>7</v>
      </c>
    </row>
    <row r="3198" s="1" customFormat="1" customHeight="1" spans="1:6">
      <c r="A3198" s="9" t="str">
        <f>"10080110716"</f>
        <v>10080110716</v>
      </c>
      <c r="B3198" s="10">
        <v>45.76</v>
      </c>
      <c r="C3198" s="9"/>
      <c r="D3198" s="9">
        <f t="shared" si="49"/>
        <v>45.76</v>
      </c>
      <c r="E3198" s="11"/>
      <c r="F3198" s="9"/>
    </row>
    <row r="3199" s="1" customFormat="1" customHeight="1" spans="1:6">
      <c r="A3199" s="9" t="str">
        <f>"10330110717"</f>
        <v>10330110717</v>
      </c>
      <c r="B3199" s="10">
        <v>0</v>
      </c>
      <c r="C3199" s="9"/>
      <c r="D3199" s="9">
        <f t="shared" si="49"/>
        <v>0</v>
      </c>
      <c r="E3199" s="11"/>
      <c r="F3199" s="9" t="s">
        <v>7</v>
      </c>
    </row>
    <row r="3200" s="1" customFormat="1" customHeight="1" spans="1:6">
      <c r="A3200" s="9" t="str">
        <f>"10360110718"</f>
        <v>10360110718</v>
      </c>
      <c r="B3200" s="10">
        <v>0</v>
      </c>
      <c r="C3200" s="9"/>
      <c r="D3200" s="9">
        <f t="shared" si="49"/>
        <v>0</v>
      </c>
      <c r="E3200" s="11"/>
      <c r="F3200" s="9" t="s">
        <v>7</v>
      </c>
    </row>
    <row r="3201" s="1" customFormat="1" customHeight="1" spans="1:6">
      <c r="A3201" s="9" t="str">
        <f>"10130110719"</f>
        <v>10130110719</v>
      </c>
      <c r="B3201" s="10">
        <v>42.03</v>
      </c>
      <c r="C3201" s="9"/>
      <c r="D3201" s="9">
        <f t="shared" si="49"/>
        <v>42.03</v>
      </c>
      <c r="E3201" s="11"/>
      <c r="F3201" s="9"/>
    </row>
    <row r="3202" s="1" customFormat="1" customHeight="1" spans="1:6">
      <c r="A3202" s="9" t="str">
        <f>"10240110720"</f>
        <v>10240110720</v>
      </c>
      <c r="B3202" s="10">
        <v>0</v>
      </c>
      <c r="C3202" s="9"/>
      <c r="D3202" s="9">
        <f t="shared" si="49"/>
        <v>0</v>
      </c>
      <c r="E3202" s="11"/>
      <c r="F3202" s="9" t="s">
        <v>7</v>
      </c>
    </row>
    <row r="3203" s="1" customFormat="1" customHeight="1" spans="1:6">
      <c r="A3203" s="9" t="str">
        <f>"10330110721"</f>
        <v>10330110721</v>
      </c>
      <c r="B3203" s="10">
        <v>0</v>
      </c>
      <c r="C3203" s="9"/>
      <c r="D3203" s="9">
        <f t="shared" ref="D3203:D3266" si="50">SUM(B3203:C3203)</f>
        <v>0</v>
      </c>
      <c r="E3203" s="11"/>
      <c r="F3203" s="9" t="s">
        <v>7</v>
      </c>
    </row>
    <row r="3204" s="1" customFormat="1" customHeight="1" spans="1:6">
      <c r="A3204" s="9" t="str">
        <f>"10530110722"</f>
        <v>10530110722</v>
      </c>
      <c r="B3204" s="10">
        <v>40.41</v>
      </c>
      <c r="C3204" s="9"/>
      <c r="D3204" s="9">
        <f t="shared" si="50"/>
        <v>40.41</v>
      </c>
      <c r="E3204" s="11"/>
      <c r="F3204" s="9"/>
    </row>
    <row r="3205" s="1" customFormat="1" customHeight="1" spans="1:6">
      <c r="A3205" s="9" t="str">
        <f>"10360110723"</f>
        <v>10360110723</v>
      </c>
      <c r="B3205" s="10">
        <v>0</v>
      </c>
      <c r="C3205" s="9"/>
      <c r="D3205" s="9">
        <f t="shared" si="50"/>
        <v>0</v>
      </c>
      <c r="E3205" s="11"/>
      <c r="F3205" s="9" t="s">
        <v>7</v>
      </c>
    </row>
    <row r="3206" s="1" customFormat="1" customHeight="1" spans="1:6">
      <c r="A3206" s="9" t="str">
        <f>"10090110724"</f>
        <v>10090110724</v>
      </c>
      <c r="B3206" s="10">
        <v>0</v>
      </c>
      <c r="C3206" s="9"/>
      <c r="D3206" s="9">
        <f t="shared" si="50"/>
        <v>0</v>
      </c>
      <c r="E3206" s="11"/>
      <c r="F3206" s="9" t="s">
        <v>7</v>
      </c>
    </row>
    <row r="3207" s="1" customFormat="1" customHeight="1" spans="1:6">
      <c r="A3207" s="9" t="str">
        <f>"10330110725"</f>
        <v>10330110725</v>
      </c>
      <c r="B3207" s="10">
        <v>0</v>
      </c>
      <c r="C3207" s="9"/>
      <c r="D3207" s="9">
        <f t="shared" si="50"/>
        <v>0</v>
      </c>
      <c r="E3207" s="11"/>
      <c r="F3207" s="9" t="s">
        <v>7</v>
      </c>
    </row>
    <row r="3208" s="1" customFormat="1" customHeight="1" spans="1:6">
      <c r="A3208" s="9" t="str">
        <f>"10040110726"</f>
        <v>10040110726</v>
      </c>
      <c r="B3208" s="10">
        <v>39.9</v>
      </c>
      <c r="C3208" s="9"/>
      <c r="D3208" s="9">
        <f t="shared" si="50"/>
        <v>39.9</v>
      </c>
      <c r="E3208" s="11"/>
      <c r="F3208" s="9"/>
    </row>
    <row r="3209" s="1" customFormat="1" customHeight="1" spans="1:6">
      <c r="A3209" s="9" t="str">
        <f>"10360110727"</f>
        <v>10360110727</v>
      </c>
      <c r="B3209" s="10">
        <v>0</v>
      </c>
      <c r="C3209" s="9"/>
      <c r="D3209" s="9">
        <f t="shared" si="50"/>
        <v>0</v>
      </c>
      <c r="E3209" s="11"/>
      <c r="F3209" s="9" t="s">
        <v>7</v>
      </c>
    </row>
    <row r="3210" s="1" customFormat="1" customHeight="1" spans="1:6">
      <c r="A3210" s="9" t="str">
        <f>"10360110728"</f>
        <v>10360110728</v>
      </c>
      <c r="B3210" s="10">
        <v>40.09</v>
      </c>
      <c r="C3210" s="9"/>
      <c r="D3210" s="9">
        <f t="shared" si="50"/>
        <v>40.09</v>
      </c>
      <c r="E3210" s="11"/>
      <c r="F3210" s="9"/>
    </row>
    <row r="3211" s="1" customFormat="1" customHeight="1" spans="1:6">
      <c r="A3211" s="9" t="str">
        <f>"10510110729"</f>
        <v>10510110729</v>
      </c>
      <c r="B3211" s="10">
        <v>34.67</v>
      </c>
      <c r="C3211" s="9"/>
      <c r="D3211" s="9">
        <f t="shared" si="50"/>
        <v>34.67</v>
      </c>
      <c r="E3211" s="11"/>
      <c r="F3211" s="9"/>
    </row>
    <row r="3212" s="1" customFormat="1" customHeight="1" spans="1:6">
      <c r="A3212" s="9" t="str">
        <f>"10360110730"</f>
        <v>10360110730</v>
      </c>
      <c r="B3212" s="10">
        <v>46.91</v>
      </c>
      <c r="C3212" s="9"/>
      <c r="D3212" s="9">
        <f t="shared" si="50"/>
        <v>46.91</v>
      </c>
      <c r="E3212" s="11"/>
      <c r="F3212" s="9"/>
    </row>
    <row r="3213" s="1" customFormat="1" customHeight="1" spans="1:6">
      <c r="A3213" s="9" t="str">
        <f>"10360110801"</f>
        <v>10360110801</v>
      </c>
      <c r="B3213" s="10">
        <v>0</v>
      </c>
      <c r="C3213" s="9"/>
      <c r="D3213" s="9">
        <f t="shared" si="50"/>
        <v>0</v>
      </c>
      <c r="E3213" s="11"/>
      <c r="F3213" s="9" t="s">
        <v>7</v>
      </c>
    </row>
    <row r="3214" s="1" customFormat="1" customHeight="1" spans="1:6">
      <c r="A3214" s="9" t="str">
        <f>"10050110802"</f>
        <v>10050110802</v>
      </c>
      <c r="B3214" s="10">
        <v>47.49</v>
      </c>
      <c r="C3214" s="9"/>
      <c r="D3214" s="9">
        <f t="shared" si="50"/>
        <v>47.49</v>
      </c>
      <c r="E3214" s="11"/>
      <c r="F3214" s="9"/>
    </row>
    <row r="3215" s="1" customFormat="1" customHeight="1" spans="1:6">
      <c r="A3215" s="9" t="str">
        <f>"10010110803"</f>
        <v>10010110803</v>
      </c>
      <c r="B3215" s="10">
        <v>35.91</v>
      </c>
      <c r="C3215" s="9"/>
      <c r="D3215" s="9">
        <f t="shared" si="50"/>
        <v>35.91</v>
      </c>
      <c r="E3215" s="11"/>
      <c r="F3215" s="9"/>
    </row>
    <row r="3216" s="1" customFormat="1" customHeight="1" spans="1:6">
      <c r="A3216" s="9" t="str">
        <f>"10510110804"</f>
        <v>10510110804</v>
      </c>
      <c r="B3216" s="10">
        <v>43.99</v>
      </c>
      <c r="C3216" s="9"/>
      <c r="D3216" s="9">
        <f t="shared" si="50"/>
        <v>43.99</v>
      </c>
      <c r="E3216" s="11"/>
      <c r="F3216" s="9"/>
    </row>
    <row r="3217" s="1" customFormat="1" customHeight="1" spans="1:6">
      <c r="A3217" s="9" t="str">
        <f>"10530110805"</f>
        <v>10530110805</v>
      </c>
      <c r="B3217" s="10">
        <v>37.87</v>
      </c>
      <c r="C3217" s="9"/>
      <c r="D3217" s="9">
        <f t="shared" si="50"/>
        <v>37.87</v>
      </c>
      <c r="E3217" s="11"/>
      <c r="F3217" s="9"/>
    </row>
    <row r="3218" s="1" customFormat="1" customHeight="1" spans="1:6">
      <c r="A3218" s="9" t="str">
        <f>"10160110806"</f>
        <v>10160110806</v>
      </c>
      <c r="B3218" s="10">
        <v>0</v>
      </c>
      <c r="C3218" s="9"/>
      <c r="D3218" s="9">
        <f t="shared" si="50"/>
        <v>0</v>
      </c>
      <c r="E3218" s="11"/>
      <c r="F3218" s="9" t="s">
        <v>7</v>
      </c>
    </row>
    <row r="3219" s="1" customFormat="1" customHeight="1" spans="1:6">
      <c r="A3219" s="9" t="str">
        <f>"10040110807"</f>
        <v>10040110807</v>
      </c>
      <c r="B3219" s="10">
        <v>40.08</v>
      </c>
      <c r="C3219" s="9"/>
      <c r="D3219" s="9">
        <f t="shared" si="50"/>
        <v>40.08</v>
      </c>
      <c r="E3219" s="11"/>
      <c r="F3219" s="9"/>
    </row>
    <row r="3220" s="1" customFormat="1" customHeight="1" spans="1:6">
      <c r="A3220" s="9" t="str">
        <f>"10360110808"</f>
        <v>10360110808</v>
      </c>
      <c r="B3220" s="10">
        <v>39.02</v>
      </c>
      <c r="C3220" s="9"/>
      <c r="D3220" s="9">
        <f t="shared" si="50"/>
        <v>39.02</v>
      </c>
      <c r="E3220" s="11"/>
      <c r="F3220" s="9"/>
    </row>
    <row r="3221" s="1" customFormat="1" customHeight="1" spans="1:6">
      <c r="A3221" s="9" t="str">
        <f>"10340110809"</f>
        <v>10340110809</v>
      </c>
      <c r="B3221" s="10">
        <v>0</v>
      </c>
      <c r="C3221" s="9"/>
      <c r="D3221" s="9">
        <f t="shared" si="50"/>
        <v>0</v>
      </c>
      <c r="E3221" s="11"/>
      <c r="F3221" s="9" t="s">
        <v>7</v>
      </c>
    </row>
    <row r="3222" s="1" customFormat="1" customHeight="1" spans="1:6">
      <c r="A3222" s="9" t="str">
        <f>"10060110810"</f>
        <v>10060110810</v>
      </c>
      <c r="B3222" s="10">
        <v>30.79</v>
      </c>
      <c r="C3222" s="9"/>
      <c r="D3222" s="9">
        <f t="shared" si="50"/>
        <v>30.79</v>
      </c>
      <c r="E3222" s="11"/>
      <c r="F3222" s="9"/>
    </row>
    <row r="3223" s="1" customFormat="1" customHeight="1" spans="1:6">
      <c r="A3223" s="9" t="str">
        <f>"10520110811"</f>
        <v>10520110811</v>
      </c>
      <c r="B3223" s="10">
        <v>57.9</v>
      </c>
      <c r="C3223" s="9"/>
      <c r="D3223" s="9">
        <f t="shared" si="50"/>
        <v>57.9</v>
      </c>
      <c r="E3223" s="11"/>
      <c r="F3223" s="9"/>
    </row>
    <row r="3224" s="1" customFormat="1" customHeight="1" spans="1:6">
      <c r="A3224" s="9" t="str">
        <f>"10390110812"</f>
        <v>10390110812</v>
      </c>
      <c r="B3224" s="10">
        <v>35.02</v>
      </c>
      <c r="C3224" s="9"/>
      <c r="D3224" s="9">
        <f t="shared" si="50"/>
        <v>35.02</v>
      </c>
      <c r="E3224" s="11"/>
      <c r="F3224" s="9"/>
    </row>
    <row r="3225" s="1" customFormat="1" customHeight="1" spans="1:6">
      <c r="A3225" s="9" t="str">
        <f>"10100110813"</f>
        <v>10100110813</v>
      </c>
      <c r="B3225" s="10">
        <v>35.67</v>
      </c>
      <c r="C3225" s="9"/>
      <c r="D3225" s="9">
        <f t="shared" si="50"/>
        <v>35.67</v>
      </c>
      <c r="E3225" s="11"/>
      <c r="F3225" s="9"/>
    </row>
    <row r="3226" s="1" customFormat="1" customHeight="1" spans="1:6">
      <c r="A3226" s="9" t="str">
        <f>"10380110814"</f>
        <v>10380110814</v>
      </c>
      <c r="B3226" s="10">
        <v>42.25</v>
      </c>
      <c r="C3226" s="9"/>
      <c r="D3226" s="9">
        <f t="shared" si="50"/>
        <v>42.25</v>
      </c>
      <c r="E3226" s="11"/>
      <c r="F3226" s="9"/>
    </row>
    <row r="3227" s="1" customFormat="1" customHeight="1" spans="1:6">
      <c r="A3227" s="9" t="str">
        <f>"10360110815"</f>
        <v>10360110815</v>
      </c>
      <c r="B3227" s="10">
        <v>0</v>
      </c>
      <c r="C3227" s="9"/>
      <c r="D3227" s="9">
        <f t="shared" si="50"/>
        <v>0</v>
      </c>
      <c r="E3227" s="11"/>
      <c r="F3227" s="9" t="s">
        <v>7</v>
      </c>
    </row>
    <row r="3228" s="1" customFormat="1" customHeight="1" spans="1:6">
      <c r="A3228" s="9" t="str">
        <f>"10100110816"</f>
        <v>10100110816</v>
      </c>
      <c r="B3228" s="10">
        <v>40.09</v>
      </c>
      <c r="C3228" s="9"/>
      <c r="D3228" s="9">
        <f t="shared" si="50"/>
        <v>40.09</v>
      </c>
      <c r="E3228" s="11"/>
      <c r="F3228" s="9"/>
    </row>
    <row r="3229" s="1" customFormat="1" customHeight="1" spans="1:6">
      <c r="A3229" s="9" t="str">
        <f>"10400110817"</f>
        <v>10400110817</v>
      </c>
      <c r="B3229" s="10">
        <v>40.21</v>
      </c>
      <c r="C3229" s="9"/>
      <c r="D3229" s="9">
        <f t="shared" si="50"/>
        <v>40.21</v>
      </c>
      <c r="E3229" s="11"/>
      <c r="F3229" s="9"/>
    </row>
    <row r="3230" s="1" customFormat="1" customHeight="1" spans="1:6">
      <c r="A3230" s="9" t="str">
        <f>"10240110818"</f>
        <v>10240110818</v>
      </c>
      <c r="B3230" s="10">
        <v>50.18</v>
      </c>
      <c r="C3230" s="9"/>
      <c r="D3230" s="9">
        <f t="shared" si="50"/>
        <v>50.18</v>
      </c>
      <c r="E3230" s="11"/>
      <c r="F3230" s="9"/>
    </row>
    <row r="3231" s="1" customFormat="1" customHeight="1" spans="1:6">
      <c r="A3231" s="9" t="str">
        <f>"10080110819"</f>
        <v>10080110819</v>
      </c>
      <c r="B3231" s="10">
        <v>0</v>
      </c>
      <c r="C3231" s="9"/>
      <c r="D3231" s="9">
        <f t="shared" si="50"/>
        <v>0</v>
      </c>
      <c r="E3231" s="11"/>
      <c r="F3231" s="9" t="s">
        <v>7</v>
      </c>
    </row>
    <row r="3232" s="1" customFormat="1" customHeight="1" spans="1:6">
      <c r="A3232" s="9" t="str">
        <f>"10060110820"</f>
        <v>10060110820</v>
      </c>
      <c r="B3232" s="10">
        <v>44.64</v>
      </c>
      <c r="C3232" s="9"/>
      <c r="D3232" s="9">
        <f t="shared" si="50"/>
        <v>44.64</v>
      </c>
      <c r="E3232" s="11"/>
      <c r="F3232" s="9"/>
    </row>
    <row r="3233" s="1" customFormat="1" customHeight="1" spans="1:6">
      <c r="A3233" s="9" t="str">
        <f>"20270110821"</f>
        <v>20270110821</v>
      </c>
      <c r="B3233" s="10">
        <v>43.78</v>
      </c>
      <c r="C3233" s="9"/>
      <c r="D3233" s="9">
        <f t="shared" si="50"/>
        <v>43.78</v>
      </c>
      <c r="E3233" s="11"/>
      <c r="F3233" s="9"/>
    </row>
    <row r="3234" s="1" customFormat="1" customHeight="1" spans="1:6">
      <c r="A3234" s="9" t="str">
        <f>"10360110822"</f>
        <v>10360110822</v>
      </c>
      <c r="B3234" s="10">
        <v>0</v>
      </c>
      <c r="C3234" s="9"/>
      <c r="D3234" s="9">
        <f t="shared" si="50"/>
        <v>0</v>
      </c>
      <c r="E3234" s="11"/>
      <c r="F3234" s="9" t="s">
        <v>7</v>
      </c>
    </row>
    <row r="3235" s="1" customFormat="1" customHeight="1" spans="1:6">
      <c r="A3235" s="9" t="str">
        <f>"10300110823"</f>
        <v>10300110823</v>
      </c>
      <c r="B3235" s="10">
        <v>41.38</v>
      </c>
      <c r="C3235" s="9"/>
      <c r="D3235" s="9">
        <f t="shared" si="50"/>
        <v>41.38</v>
      </c>
      <c r="E3235" s="11"/>
      <c r="F3235" s="9"/>
    </row>
    <row r="3236" s="1" customFormat="1" customHeight="1" spans="1:6">
      <c r="A3236" s="9" t="str">
        <f>"10010110824"</f>
        <v>10010110824</v>
      </c>
      <c r="B3236" s="10">
        <v>37.05</v>
      </c>
      <c r="C3236" s="9"/>
      <c r="D3236" s="9">
        <f t="shared" si="50"/>
        <v>37.05</v>
      </c>
      <c r="E3236" s="11"/>
      <c r="F3236" s="9"/>
    </row>
    <row r="3237" s="1" customFormat="1" customHeight="1" spans="1:6">
      <c r="A3237" s="9" t="str">
        <f>"10480110825"</f>
        <v>10480110825</v>
      </c>
      <c r="B3237" s="10">
        <v>49.02</v>
      </c>
      <c r="C3237" s="9"/>
      <c r="D3237" s="9">
        <f t="shared" si="50"/>
        <v>49.02</v>
      </c>
      <c r="E3237" s="11"/>
      <c r="F3237" s="9"/>
    </row>
    <row r="3238" s="1" customFormat="1" customHeight="1" spans="1:6">
      <c r="A3238" s="9" t="str">
        <f>"10060110826"</f>
        <v>10060110826</v>
      </c>
      <c r="B3238" s="10">
        <v>41.14</v>
      </c>
      <c r="C3238" s="9"/>
      <c r="D3238" s="9">
        <f t="shared" si="50"/>
        <v>41.14</v>
      </c>
      <c r="E3238" s="11"/>
      <c r="F3238" s="9"/>
    </row>
    <row r="3239" s="1" customFormat="1" customHeight="1" spans="1:6">
      <c r="A3239" s="9" t="str">
        <f>"10330110827"</f>
        <v>10330110827</v>
      </c>
      <c r="B3239" s="10">
        <v>41.66</v>
      </c>
      <c r="C3239" s="9"/>
      <c r="D3239" s="9">
        <f t="shared" si="50"/>
        <v>41.66</v>
      </c>
      <c r="E3239" s="11"/>
      <c r="F3239" s="9"/>
    </row>
    <row r="3240" s="1" customFormat="1" customHeight="1" spans="1:6">
      <c r="A3240" s="9" t="str">
        <f>"10310110828"</f>
        <v>10310110828</v>
      </c>
      <c r="B3240" s="10">
        <v>47.13</v>
      </c>
      <c r="C3240" s="9"/>
      <c r="D3240" s="9">
        <f t="shared" si="50"/>
        <v>47.13</v>
      </c>
      <c r="E3240" s="11"/>
      <c r="F3240" s="9"/>
    </row>
    <row r="3241" s="1" customFormat="1" customHeight="1" spans="1:6">
      <c r="A3241" s="9" t="str">
        <f>"10150110829"</f>
        <v>10150110829</v>
      </c>
      <c r="B3241" s="10">
        <v>35.94</v>
      </c>
      <c r="C3241" s="9"/>
      <c r="D3241" s="9">
        <f t="shared" si="50"/>
        <v>35.94</v>
      </c>
      <c r="E3241" s="11"/>
      <c r="F3241" s="9"/>
    </row>
    <row r="3242" s="1" customFormat="1" customHeight="1" spans="1:6">
      <c r="A3242" s="9" t="str">
        <f>"10360110830"</f>
        <v>10360110830</v>
      </c>
      <c r="B3242" s="10">
        <v>47.24</v>
      </c>
      <c r="C3242" s="9"/>
      <c r="D3242" s="9">
        <f t="shared" si="50"/>
        <v>47.24</v>
      </c>
      <c r="E3242" s="11"/>
      <c r="F3242" s="9"/>
    </row>
    <row r="3243" s="1" customFormat="1" customHeight="1" spans="1:6">
      <c r="A3243" s="9" t="str">
        <f>"10020110901"</f>
        <v>10020110901</v>
      </c>
      <c r="B3243" s="10">
        <v>38.56</v>
      </c>
      <c r="C3243" s="9"/>
      <c r="D3243" s="9">
        <f t="shared" si="50"/>
        <v>38.56</v>
      </c>
      <c r="E3243" s="11"/>
      <c r="F3243" s="9"/>
    </row>
    <row r="3244" s="1" customFormat="1" customHeight="1" spans="1:6">
      <c r="A3244" s="9" t="str">
        <f>"10360110902"</f>
        <v>10360110902</v>
      </c>
      <c r="B3244" s="10">
        <v>42.52</v>
      </c>
      <c r="C3244" s="9"/>
      <c r="D3244" s="9">
        <f t="shared" si="50"/>
        <v>42.52</v>
      </c>
      <c r="E3244" s="11"/>
      <c r="F3244" s="9"/>
    </row>
    <row r="3245" s="1" customFormat="1" customHeight="1" spans="1:6">
      <c r="A3245" s="9" t="str">
        <f>"10090110903"</f>
        <v>10090110903</v>
      </c>
      <c r="B3245" s="10">
        <v>42.36</v>
      </c>
      <c r="C3245" s="9"/>
      <c r="D3245" s="9">
        <f t="shared" si="50"/>
        <v>42.36</v>
      </c>
      <c r="E3245" s="11"/>
      <c r="F3245" s="9"/>
    </row>
    <row r="3246" s="1" customFormat="1" customHeight="1" spans="1:6">
      <c r="A3246" s="9" t="str">
        <f>"10520110904"</f>
        <v>10520110904</v>
      </c>
      <c r="B3246" s="10">
        <v>37.29</v>
      </c>
      <c r="C3246" s="9"/>
      <c r="D3246" s="9">
        <f t="shared" si="50"/>
        <v>37.29</v>
      </c>
      <c r="E3246" s="11"/>
      <c r="F3246" s="9"/>
    </row>
    <row r="3247" s="1" customFormat="1" customHeight="1" spans="1:6">
      <c r="A3247" s="9" t="str">
        <f>"10310110905"</f>
        <v>10310110905</v>
      </c>
      <c r="B3247" s="10">
        <v>42.73</v>
      </c>
      <c r="C3247" s="9"/>
      <c r="D3247" s="9">
        <f t="shared" si="50"/>
        <v>42.73</v>
      </c>
      <c r="E3247" s="11"/>
      <c r="F3247" s="9"/>
    </row>
    <row r="3248" s="1" customFormat="1" customHeight="1" spans="1:6">
      <c r="A3248" s="9" t="str">
        <f>"10170110906"</f>
        <v>10170110906</v>
      </c>
      <c r="B3248" s="10">
        <v>42.64</v>
      </c>
      <c r="C3248" s="9"/>
      <c r="D3248" s="9">
        <f t="shared" si="50"/>
        <v>42.64</v>
      </c>
      <c r="E3248" s="11"/>
      <c r="F3248" s="9"/>
    </row>
    <row r="3249" s="1" customFormat="1" customHeight="1" spans="1:6">
      <c r="A3249" s="9" t="str">
        <f>"10510110907"</f>
        <v>10510110907</v>
      </c>
      <c r="B3249" s="10">
        <v>41.39</v>
      </c>
      <c r="C3249" s="9"/>
      <c r="D3249" s="9">
        <f t="shared" si="50"/>
        <v>41.39</v>
      </c>
      <c r="E3249" s="11"/>
      <c r="F3249" s="9"/>
    </row>
    <row r="3250" s="1" customFormat="1" customHeight="1" spans="1:6">
      <c r="A3250" s="9" t="str">
        <f>"10360110908"</f>
        <v>10360110908</v>
      </c>
      <c r="B3250" s="10">
        <v>34.1</v>
      </c>
      <c r="C3250" s="9"/>
      <c r="D3250" s="9">
        <f t="shared" si="50"/>
        <v>34.1</v>
      </c>
      <c r="E3250" s="11"/>
      <c r="F3250" s="9"/>
    </row>
    <row r="3251" s="1" customFormat="1" customHeight="1" spans="1:6">
      <c r="A3251" s="9" t="str">
        <f>"10110110909"</f>
        <v>10110110909</v>
      </c>
      <c r="B3251" s="10">
        <v>45.45</v>
      </c>
      <c r="C3251" s="9"/>
      <c r="D3251" s="9">
        <f t="shared" si="50"/>
        <v>45.45</v>
      </c>
      <c r="E3251" s="11"/>
      <c r="F3251" s="9"/>
    </row>
    <row r="3252" s="1" customFormat="1" customHeight="1" spans="1:6">
      <c r="A3252" s="9" t="str">
        <f>"10530110910"</f>
        <v>10530110910</v>
      </c>
      <c r="B3252" s="10">
        <v>35.08</v>
      </c>
      <c r="C3252" s="9"/>
      <c r="D3252" s="9">
        <f t="shared" si="50"/>
        <v>35.08</v>
      </c>
      <c r="E3252" s="11"/>
      <c r="F3252" s="9"/>
    </row>
    <row r="3253" s="1" customFormat="1" customHeight="1" spans="1:6">
      <c r="A3253" s="9" t="str">
        <f>"10360110911"</f>
        <v>10360110911</v>
      </c>
      <c r="B3253" s="10">
        <v>0</v>
      </c>
      <c r="C3253" s="9"/>
      <c r="D3253" s="9">
        <f t="shared" si="50"/>
        <v>0</v>
      </c>
      <c r="E3253" s="11"/>
      <c r="F3253" s="9" t="s">
        <v>7</v>
      </c>
    </row>
    <row r="3254" s="1" customFormat="1" customHeight="1" spans="1:6">
      <c r="A3254" s="9" t="str">
        <f>"10360110912"</f>
        <v>10360110912</v>
      </c>
      <c r="B3254" s="10">
        <v>0</v>
      </c>
      <c r="C3254" s="9"/>
      <c r="D3254" s="9">
        <f t="shared" si="50"/>
        <v>0</v>
      </c>
      <c r="E3254" s="11"/>
      <c r="F3254" s="9" t="s">
        <v>7</v>
      </c>
    </row>
    <row r="3255" s="1" customFormat="1" customHeight="1" spans="1:6">
      <c r="A3255" s="9" t="str">
        <f>"10330110913"</f>
        <v>10330110913</v>
      </c>
      <c r="B3255" s="10">
        <v>32.62</v>
      </c>
      <c r="C3255" s="9"/>
      <c r="D3255" s="9">
        <f t="shared" si="50"/>
        <v>32.62</v>
      </c>
      <c r="E3255" s="11"/>
      <c r="F3255" s="9"/>
    </row>
    <row r="3256" s="1" customFormat="1" customHeight="1" spans="1:6">
      <c r="A3256" s="9" t="str">
        <f>"10170110914"</f>
        <v>10170110914</v>
      </c>
      <c r="B3256" s="10">
        <v>35.74</v>
      </c>
      <c r="C3256" s="9"/>
      <c r="D3256" s="9">
        <f t="shared" si="50"/>
        <v>35.74</v>
      </c>
      <c r="E3256" s="11"/>
      <c r="F3256" s="9"/>
    </row>
    <row r="3257" s="1" customFormat="1" customHeight="1" spans="1:6">
      <c r="A3257" s="9" t="str">
        <f>"10010110915"</f>
        <v>10010110915</v>
      </c>
      <c r="B3257" s="10">
        <v>43.2</v>
      </c>
      <c r="C3257" s="9"/>
      <c r="D3257" s="9">
        <f t="shared" si="50"/>
        <v>43.2</v>
      </c>
      <c r="E3257" s="11"/>
      <c r="F3257" s="9"/>
    </row>
    <row r="3258" s="1" customFormat="1" customHeight="1" spans="1:6">
      <c r="A3258" s="9" t="str">
        <f>"10510110916"</f>
        <v>10510110916</v>
      </c>
      <c r="B3258" s="10">
        <v>35.44</v>
      </c>
      <c r="C3258" s="9"/>
      <c r="D3258" s="9">
        <f t="shared" si="50"/>
        <v>35.44</v>
      </c>
      <c r="E3258" s="11"/>
      <c r="F3258" s="9"/>
    </row>
    <row r="3259" s="1" customFormat="1" customHeight="1" spans="1:6">
      <c r="A3259" s="9" t="str">
        <f>"10240110917"</f>
        <v>10240110917</v>
      </c>
      <c r="B3259" s="10">
        <v>33.64</v>
      </c>
      <c r="C3259" s="9"/>
      <c r="D3259" s="9">
        <f t="shared" si="50"/>
        <v>33.64</v>
      </c>
      <c r="E3259" s="11"/>
      <c r="F3259" s="9"/>
    </row>
    <row r="3260" s="1" customFormat="1" customHeight="1" spans="1:6">
      <c r="A3260" s="9" t="str">
        <f>"10360110918"</f>
        <v>10360110918</v>
      </c>
      <c r="B3260" s="10">
        <v>30.96</v>
      </c>
      <c r="C3260" s="9"/>
      <c r="D3260" s="9">
        <f t="shared" si="50"/>
        <v>30.96</v>
      </c>
      <c r="E3260" s="11"/>
      <c r="F3260" s="9"/>
    </row>
    <row r="3261" s="1" customFormat="1" customHeight="1" spans="1:6">
      <c r="A3261" s="9" t="str">
        <f>"10440110919"</f>
        <v>10440110919</v>
      </c>
      <c r="B3261" s="10">
        <v>43.82</v>
      </c>
      <c r="C3261" s="9"/>
      <c r="D3261" s="9">
        <f t="shared" si="50"/>
        <v>43.82</v>
      </c>
      <c r="E3261" s="11"/>
      <c r="F3261" s="9"/>
    </row>
    <row r="3262" s="1" customFormat="1" customHeight="1" spans="1:6">
      <c r="A3262" s="9" t="str">
        <f>"10360110920"</f>
        <v>10360110920</v>
      </c>
      <c r="B3262" s="10">
        <v>40.34</v>
      </c>
      <c r="C3262" s="9"/>
      <c r="D3262" s="9">
        <f t="shared" si="50"/>
        <v>40.34</v>
      </c>
      <c r="E3262" s="11"/>
      <c r="F3262" s="9"/>
    </row>
    <row r="3263" s="1" customFormat="1" customHeight="1" spans="1:6">
      <c r="A3263" s="9" t="str">
        <f>"10020110921"</f>
        <v>10020110921</v>
      </c>
      <c r="B3263" s="10">
        <v>0</v>
      </c>
      <c r="C3263" s="9"/>
      <c r="D3263" s="9">
        <f t="shared" si="50"/>
        <v>0</v>
      </c>
      <c r="E3263" s="11"/>
      <c r="F3263" s="9" t="s">
        <v>7</v>
      </c>
    </row>
    <row r="3264" s="1" customFormat="1" customHeight="1" spans="1:6">
      <c r="A3264" s="9" t="str">
        <f>"10530110922"</f>
        <v>10530110922</v>
      </c>
      <c r="B3264" s="10">
        <v>0</v>
      </c>
      <c r="C3264" s="9"/>
      <c r="D3264" s="9">
        <f t="shared" si="50"/>
        <v>0</v>
      </c>
      <c r="E3264" s="11"/>
      <c r="F3264" s="9" t="s">
        <v>7</v>
      </c>
    </row>
    <row r="3265" s="1" customFormat="1" customHeight="1" spans="1:6">
      <c r="A3265" s="9" t="str">
        <f>"10300110923"</f>
        <v>10300110923</v>
      </c>
      <c r="B3265" s="10">
        <v>29.93</v>
      </c>
      <c r="C3265" s="9"/>
      <c r="D3265" s="9">
        <f t="shared" si="50"/>
        <v>29.93</v>
      </c>
      <c r="E3265" s="11"/>
      <c r="F3265" s="9"/>
    </row>
    <row r="3266" s="1" customFormat="1" customHeight="1" spans="1:6">
      <c r="A3266" s="9" t="str">
        <f>"10330110924"</f>
        <v>10330110924</v>
      </c>
      <c r="B3266" s="10">
        <v>0</v>
      </c>
      <c r="C3266" s="9"/>
      <c r="D3266" s="9">
        <f t="shared" si="50"/>
        <v>0</v>
      </c>
      <c r="E3266" s="11"/>
      <c r="F3266" s="9" t="s">
        <v>7</v>
      </c>
    </row>
    <row r="3267" s="1" customFormat="1" customHeight="1" spans="1:6">
      <c r="A3267" s="9" t="str">
        <f>"10280110925"</f>
        <v>10280110925</v>
      </c>
      <c r="B3267" s="10">
        <v>32.9</v>
      </c>
      <c r="C3267" s="9"/>
      <c r="D3267" s="9">
        <f t="shared" ref="D3267:D3330" si="51">SUM(B3267:C3267)</f>
        <v>32.9</v>
      </c>
      <c r="E3267" s="11"/>
      <c r="F3267" s="9"/>
    </row>
    <row r="3268" s="1" customFormat="1" customHeight="1" spans="1:6">
      <c r="A3268" s="9" t="str">
        <f>"10090110926"</f>
        <v>10090110926</v>
      </c>
      <c r="B3268" s="10">
        <v>44.82</v>
      </c>
      <c r="C3268" s="9"/>
      <c r="D3268" s="9">
        <f t="shared" si="51"/>
        <v>44.82</v>
      </c>
      <c r="E3268" s="11"/>
      <c r="F3268" s="9"/>
    </row>
    <row r="3269" s="1" customFormat="1" customHeight="1" spans="1:6">
      <c r="A3269" s="9" t="str">
        <f>"10210110927"</f>
        <v>10210110927</v>
      </c>
      <c r="B3269" s="10">
        <v>41.8</v>
      </c>
      <c r="C3269" s="9"/>
      <c r="D3269" s="9">
        <f t="shared" si="51"/>
        <v>41.8</v>
      </c>
      <c r="E3269" s="11"/>
      <c r="F3269" s="9"/>
    </row>
    <row r="3270" s="1" customFormat="1" customHeight="1" spans="1:6">
      <c r="A3270" s="9" t="str">
        <f>"10200110928"</f>
        <v>10200110928</v>
      </c>
      <c r="B3270" s="10">
        <v>45.95</v>
      </c>
      <c r="C3270" s="9"/>
      <c r="D3270" s="9">
        <f t="shared" si="51"/>
        <v>45.95</v>
      </c>
      <c r="E3270" s="11"/>
      <c r="F3270" s="9"/>
    </row>
    <row r="3271" s="1" customFormat="1" customHeight="1" spans="1:6">
      <c r="A3271" s="9" t="str">
        <f>"10360110929"</f>
        <v>10360110929</v>
      </c>
      <c r="B3271" s="10">
        <v>34.94</v>
      </c>
      <c r="C3271" s="9">
        <v>10</v>
      </c>
      <c r="D3271" s="9">
        <f t="shared" si="51"/>
        <v>44.94</v>
      </c>
      <c r="E3271" s="12" t="s">
        <v>8</v>
      </c>
      <c r="F3271" s="9"/>
    </row>
    <row r="3272" s="1" customFormat="1" customHeight="1" spans="1:6">
      <c r="A3272" s="9" t="str">
        <f>"10240110930"</f>
        <v>10240110930</v>
      </c>
      <c r="B3272" s="10">
        <v>50.87</v>
      </c>
      <c r="C3272" s="9"/>
      <c r="D3272" s="9">
        <f t="shared" si="51"/>
        <v>50.87</v>
      </c>
      <c r="E3272" s="11"/>
      <c r="F3272" s="9"/>
    </row>
    <row r="3273" s="1" customFormat="1" customHeight="1" spans="1:6">
      <c r="A3273" s="9" t="str">
        <f>"10480111001"</f>
        <v>10480111001</v>
      </c>
      <c r="B3273" s="10">
        <v>46.6</v>
      </c>
      <c r="C3273" s="9"/>
      <c r="D3273" s="9">
        <f t="shared" si="51"/>
        <v>46.6</v>
      </c>
      <c r="E3273" s="11"/>
      <c r="F3273" s="9"/>
    </row>
    <row r="3274" s="1" customFormat="1" customHeight="1" spans="1:6">
      <c r="A3274" s="9" t="str">
        <f>"20270111002"</f>
        <v>20270111002</v>
      </c>
      <c r="B3274" s="10">
        <v>49.6</v>
      </c>
      <c r="C3274" s="9"/>
      <c r="D3274" s="9">
        <f t="shared" si="51"/>
        <v>49.6</v>
      </c>
      <c r="E3274" s="11"/>
      <c r="F3274" s="9"/>
    </row>
    <row r="3275" s="1" customFormat="1" customHeight="1" spans="1:6">
      <c r="A3275" s="9" t="str">
        <f>"10090111003"</f>
        <v>10090111003</v>
      </c>
      <c r="B3275" s="10">
        <v>0</v>
      </c>
      <c r="C3275" s="9"/>
      <c r="D3275" s="9">
        <f t="shared" si="51"/>
        <v>0</v>
      </c>
      <c r="E3275" s="11"/>
      <c r="F3275" s="9" t="s">
        <v>7</v>
      </c>
    </row>
    <row r="3276" s="1" customFormat="1" customHeight="1" spans="1:6">
      <c r="A3276" s="9" t="str">
        <f>"10130111004"</f>
        <v>10130111004</v>
      </c>
      <c r="B3276" s="10">
        <v>0</v>
      </c>
      <c r="C3276" s="9"/>
      <c r="D3276" s="9">
        <f t="shared" si="51"/>
        <v>0</v>
      </c>
      <c r="E3276" s="11"/>
      <c r="F3276" s="9" t="s">
        <v>7</v>
      </c>
    </row>
    <row r="3277" s="1" customFormat="1" customHeight="1" spans="1:6">
      <c r="A3277" s="9" t="str">
        <f>"10490111005"</f>
        <v>10490111005</v>
      </c>
      <c r="B3277" s="10">
        <v>48.07</v>
      </c>
      <c r="C3277" s="9"/>
      <c r="D3277" s="9">
        <f t="shared" si="51"/>
        <v>48.07</v>
      </c>
      <c r="E3277" s="11"/>
      <c r="F3277" s="9"/>
    </row>
    <row r="3278" s="1" customFormat="1" customHeight="1" spans="1:6">
      <c r="A3278" s="9" t="str">
        <f>"10200111006"</f>
        <v>10200111006</v>
      </c>
      <c r="B3278" s="10">
        <v>39.56</v>
      </c>
      <c r="C3278" s="9"/>
      <c r="D3278" s="9">
        <f t="shared" si="51"/>
        <v>39.56</v>
      </c>
      <c r="E3278" s="11"/>
      <c r="F3278" s="9"/>
    </row>
    <row r="3279" s="1" customFormat="1" customHeight="1" spans="1:6">
      <c r="A3279" s="9" t="str">
        <f>"10330111007"</f>
        <v>10330111007</v>
      </c>
      <c r="B3279" s="10">
        <v>41.16</v>
      </c>
      <c r="C3279" s="9"/>
      <c r="D3279" s="9">
        <f t="shared" si="51"/>
        <v>41.16</v>
      </c>
      <c r="E3279" s="11"/>
      <c r="F3279" s="9"/>
    </row>
    <row r="3280" s="1" customFormat="1" customHeight="1" spans="1:6">
      <c r="A3280" s="9" t="str">
        <f>"10310111008"</f>
        <v>10310111008</v>
      </c>
      <c r="B3280" s="10">
        <v>39.36</v>
      </c>
      <c r="C3280" s="9"/>
      <c r="D3280" s="9">
        <f t="shared" si="51"/>
        <v>39.36</v>
      </c>
      <c r="E3280" s="11"/>
      <c r="F3280" s="9"/>
    </row>
    <row r="3281" s="1" customFormat="1" customHeight="1" spans="1:6">
      <c r="A3281" s="9" t="str">
        <f>"10530111009"</f>
        <v>10530111009</v>
      </c>
      <c r="B3281" s="10">
        <v>46.96</v>
      </c>
      <c r="C3281" s="9"/>
      <c r="D3281" s="9">
        <f t="shared" si="51"/>
        <v>46.96</v>
      </c>
      <c r="E3281" s="11"/>
      <c r="F3281" s="9"/>
    </row>
    <row r="3282" s="1" customFormat="1" customHeight="1" spans="1:6">
      <c r="A3282" s="9" t="str">
        <f>"10500111010"</f>
        <v>10500111010</v>
      </c>
      <c r="B3282" s="10">
        <v>76.51</v>
      </c>
      <c r="C3282" s="9"/>
      <c r="D3282" s="9">
        <f t="shared" si="51"/>
        <v>76.51</v>
      </c>
      <c r="E3282" s="11"/>
      <c r="F3282" s="9"/>
    </row>
    <row r="3283" s="1" customFormat="1" customHeight="1" spans="1:6">
      <c r="A3283" s="9" t="str">
        <f>"10060111011"</f>
        <v>10060111011</v>
      </c>
      <c r="B3283" s="10">
        <v>35.13</v>
      </c>
      <c r="C3283" s="9"/>
      <c r="D3283" s="9">
        <f t="shared" si="51"/>
        <v>35.13</v>
      </c>
      <c r="E3283" s="11"/>
      <c r="F3283" s="9"/>
    </row>
    <row r="3284" s="1" customFormat="1" customHeight="1" spans="1:6">
      <c r="A3284" s="9" t="str">
        <f>"10180111012"</f>
        <v>10180111012</v>
      </c>
      <c r="B3284" s="10">
        <v>29.56</v>
      </c>
      <c r="C3284" s="9"/>
      <c r="D3284" s="9">
        <f t="shared" si="51"/>
        <v>29.56</v>
      </c>
      <c r="E3284" s="11"/>
      <c r="F3284" s="9"/>
    </row>
    <row r="3285" s="1" customFormat="1" customHeight="1" spans="1:6">
      <c r="A3285" s="9" t="str">
        <f>"10100111013"</f>
        <v>10100111013</v>
      </c>
      <c r="B3285" s="10">
        <v>0</v>
      </c>
      <c r="C3285" s="9"/>
      <c r="D3285" s="9">
        <f t="shared" si="51"/>
        <v>0</v>
      </c>
      <c r="E3285" s="11"/>
      <c r="F3285" s="9" t="s">
        <v>7</v>
      </c>
    </row>
    <row r="3286" s="1" customFormat="1" customHeight="1" spans="1:6">
      <c r="A3286" s="9" t="str">
        <f>"10360111014"</f>
        <v>10360111014</v>
      </c>
      <c r="B3286" s="10">
        <v>0</v>
      </c>
      <c r="C3286" s="9"/>
      <c r="D3286" s="9">
        <f t="shared" si="51"/>
        <v>0</v>
      </c>
      <c r="E3286" s="11"/>
      <c r="F3286" s="9" t="s">
        <v>7</v>
      </c>
    </row>
    <row r="3287" s="1" customFormat="1" customHeight="1" spans="1:6">
      <c r="A3287" s="9" t="str">
        <f>"10100111015"</f>
        <v>10100111015</v>
      </c>
      <c r="B3287" s="10">
        <v>0</v>
      </c>
      <c r="C3287" s="9"/>
      <c r="D3287" s="9">
        <f t="shared" si="51"/>
        <v>0</v>
      </c>
      <c r="E3287" s="11"/>
      <c r="F3287" s="9" t="s">
        <v>7</v>
      </c>
    </row>
    <row r="3288" s="1" customFormat="1" customHeight="1" spans="1:6">
      <c r="A3288" s="9" t="str">
        <f>"10450111016"</f>
        <v>10450111016</v>
      </c>
      <c r="B3288" s="10">
        <v>0</v>
      </c>
      <c r="C3288" s="9"/>
      <c r="D3288" s="9">
        <f t="shared" si="51"/>
        <v>0</v>
      </c>
      <c r="E3288" s="11"/>
      <c r="F3288" s="9" t="s">
        <v>7</v>
      </c>
    </row>
    <row r="3289" s="1" customFormat="1" customHeight="1" spans="1:6">
      <c r="A3289" s="9" t="str">
        <f>"10360111017"</f>
        <v>10360111017</v>
      </c>
      <c r="B3289" s="10">
        <v>42.49</v>
      </c>
      <c r="C3289" s="9"/>
      <c r="D3289" s="9">
        <f t="shared" si="51"/>
        <v>42.49</v>
      </c>
      <c r="E3289" s="11"/>
      <c r="F3289" s="9"/>
    </row>
    <row r="3290" s="1" customFormat="1" customHeight="1" spans="1:6">
      <c r="A3290" s="9" t="str">
        <f>"10210111018"</f>
        <v>10210111018</v>
      </c>
      <c r="B3290" s="10">
        <v>0</v>
      </c>
      <c r="C3290" s="9"/>
      <c r="D3290" s="9">
        <f t="shared" si="51"/>
        <v>0</v>
      </c>
      <c r="E3290" s="11"/>
      <c r="F3290" s="9" t="s">
        <v>7</v>
      </c>
    </row>
    <row r="3291" s="1" customFormat="1" customHeight="1" spans="1:6">
      <c r="A3291" s="9" t="str">
        <f>"10270111019"</f>
        <v>10270111019</v>
      </c>
      <c r="B3291" s="10">
        <v>39.84</v>
      </c>
      <c r="C3291" s="9"/>
      <c r="D3291" s="9">
        <f t="shared" si="51"/>
        <v>39.84</v>
      </c>
      <c r="E3291" s="11"/>
      <c r="F3291" s="9"/>
    </row>
    <row r="3292" s="1" customFormat="1" customHeight="1" spans="1:6">
      <c r="A3292" s="9" t="str">
        <f>"10310111020"</f>
        <v>10310111020</v>
      </c>
      <c r="B3292" s="10">
        <v>0</v>
      </c>
      <c r="C3292" s="9"/>
      <c r="D3292" s="9">
        <f t="shared" si="51"/>
        <v>0</v>
      </c>
      <c r="E3292" s="11"/>
      <c r="F3292" s="9" t="s">
        <v>7</v>
      </c>
    </row>
    <row r="3293" s="1" customFormat="1" customHeight="1" spans="1:6">
      <c r="A3293" s="9" t="str">
        <f>"10140111021"</f>
        <v>10140111021</v>
      </c>
      <c r="B3293" s="10">
        <v>0</v>
      </c>
      <c r="C3293" s="9"/>
      <c r="D3293" s="9">
        <f t="shared" si="51"/>
        <v>0</v>
      </c>
      <c r="E3293" s="11"/>
      <c r="F3293" s="9" t="s">
        <v>7</v>
      </c>
    </row>
    <row r="3294" s="1" customFormat="1" customHeight="1" spans="1:6">
      <c r="A3294" s="9" t="str">
        <f>"10020111022"</f>
        <v>10020111022</v>
      </c>
      <c r="B3294" s="10">
        <v>41.6</v>
      </c>
      <c r="C3294" s="9"/>
      <c r="D3294" s="9">
        <f t="shared" si="51"/>
        <v>41.6</v>
      </c>
      <c r="E3294" s="11"/>
      <c r="F3294" s="9"/>
    </row>
    <row r="3295" s="1" customFormat="1" customHeight="1" spans="1:6">
      <c r="A3295" s="9" t="str">
        <f>"10140111023"</f>
        <v>10140111023</v>
      </c>
      <c r="B3295" s="10">
        <v>37.96</v>
      </c>
      <c r="C3295" s="9"/>
      <c r="D3295" s="9">
        <f t="shared" si="51"/>
        <v>37.96</v>
      </c>
      <c r="E3295" s="11"/>
      <c r="F3295" s="9"/>
    </row>
    <row r="3296" s="1" customFormat="1" customHeight="1" spans="1:6">
      <c r="A3296" s="9" t="str">
        <f>"10200111024"</f>
        <v>10200111024</v>
      </c>
      <c r="B3296" s="10">
        <v>0</v>
      </c>
      <c r="C3296" s="9"/>
      <c r="D3296" s="9">
        <f t="shared" si="51"/>
        <v>0</v>
      </c>
      <c r="E3296" s="11"/>
      <c r="F3296" s="9" t="s">
        <v>7</v>
      </c>
    </row>
    <row r="3297" s="1" customFormat="1" customHeight="1" spans="1:6">
      <c r="A3297" s="9" t="str">
        <f>"10120111025"</f>
        <v>10120111025</v>
      </c>
      <c r="B3297" s="10">
        <v>37</v>
      </c>
      <c r="C3297" s="9"/>
      <c r="D3297" s="9">
        <f t="shared" si="51"/>
        <v>37</v>
      </c>
      <c r="E3297" s="11"/>
      <c r="F3297" s="9"/>
    </row>
    <row r="3298" s="1" customFormat="1" customHeight="1" spans="1:6">
      <c r="A3298" s="9" t="str">
        <f>"10440111026"</f>
        <v>10440111026</v>
      </c>
      <c r="B3298" s="10">
        <v>0</v>
      </c>
      <c r="C3298" s="9"/>
      <c r="D3298" s="9">
        <f t="shared" si="51"/>
        <v>0</v>
      </c>
      <c r="E3298" s="11"/>
      <c r="F3298" s="9" t="s">
        <v>7</v>
      </c>
    </row>
    <row r="3299" s="1" customFormat="1" customHeight="1" spans="1:6">
      <c r="A3299" s="9" t="str">
        <f>"10510111027"</f>
        <v>10510111027</v>
      </c>
      <c r="B3299" s="10">
        <v>0</v>
      </c>
      <c r="C3299" s="9"/>
      <c r="D3299" s="9">
        <f t="shared" si="51"/>
        <v>0</v>
      </c>
      <c r="E3299" s="11"/>
      <c r="F3299" s="9" t="s">
        <v>7</v>
      </c>
    </row>
    <row r="3300" s="1" customFormat="1" customHeight="1" spans="1:6">
      <c r="A3300" s="9" t="str">
        <f>"10360111028"</f>
        <v>10360111028</v>
      </c>
      <c r="B3300" s="10">
        <v>40.36</v>
      </c>
      <c r="C3300" s="9"/>
      <c r="D3300" s="9">
        <f t="shared" si="51"/>
        <v>40.36</v>
      </c>
      <c r="E3300" s="11"/>
      <c r="F3300" s="9"/>
    </row>
    <row r="3301" s="1" customFormat="1" customHeight="1" spans="1:6">
      <c r="A3301" s="9" t="str">
        <f>"10140111029"</f>
        <v>10140111029</v>
      </c>
      <c r="B3301" s="10">
        <v>41.89</v>
      </c>
      <c r="C3301" s="9"/>
      <c r="D3301" s="9">
        <f t="shared" si="51"/>
        <v>41.89</v>
      </c>
      <c r="E3301" s="11"/>
      <c r="F3301" s="9"/>
    </row>
    <row r="3302" s="1" customFormat="1" customHeight="1" spans="1:6">
      <c r="A3302" s="9" t="str">
        <f>"10460111030"</f>
        <v>10460111030</v>
      </c>
      <c r="B3302" s="10">
        <v>0</v>
      </c>
      <c r="C3302" s="9"/>
      <c r="D3302" s="9">
        <f t="shared" si="51"/>
        <v>0</v>
      </c>
      <c r="E3302" s="11"/>
      <c r="F3302" s="9" t="s">
        <v>7</v>
      </c>
    </row>
    <row r="3303" s="1" customFormat="1" customHeight="1" spans="1:6">
      <c r="A3303" s="9" t="str">
        <f>"10330111101"</f>
        <v>10330111101</v>
      </c>
      <c r="B3303" s="10">
        <v>40.8</v>
      </c>
      <c r="C3303" s="9">
        <v>10</v>
      </c>
      <c r="D3303" s="9">
        <f t="shared" si="51"/>
        <v>50.8</v>
      </c>
      <c r="E3303" s="12" t="s">
        <v>8</v>
      </c>
      <c r="F3303" s="9"/>
    </row>
    <row r="3304" s="1" customFormat="1" customHeight="1" spans="1:6">
      <c r="A3304" s="9" t="str">
        <f>"10170111102"</f>
        <v>10170111102</v>
      </c>
      <c r="B3304" s="10">
        <v>0</v>
      </c>
      <c r="C3304" s="9"/>
      <c r="D3304" s="9">
        <f t="shared" si="51"/>
        <v>0</v>
      </c>
      <c r="E3304" s="11"/>
      <c r="F3304" s="9" t="s">
        <v>7</v>
      </c>
    </row>
    <row r="3305" s="1" customFormat="1" customHeight="1" spans="1:6">
      <c r="A3305" s="9" t="str">
        <f>"10090111103"</f>
        <v>10090111103</v>
      </c>
      <c r="B3305" s="10">
        <v>0</v>
      </c>
      <c r="C3305" s="9"/>
      <c r="D3305" s="9">
        <f t="shared" si="51"/>
        <v>0</v>
      </c>
      <c r="E3305" s="11"/>
      <c r="F3305" s="9" t="s">
        <v>7</v>
      </c>
    </row>
    <row r="3306" s="1" customFormat="1" customHeight="1" spans="1:6">
      <c r="A3306" s="9" t="str">
        <f>"10320111104"</f>
        <v>10320111104</v>
      </c>
      <c r="B3306" s="10">
        <v>46.29</v>
      </c>
      <c r="C3306" s="9"/>
      <c r="D3306" s="9">
        <f t="shared" si="51"/>
        <v>46.29</v>
      </c>
      <c r="E3306" s="11"/>
      <c r="F3306" s="9"/>
    </row>
    <row r="3307" s="1" customFormat="1" customHeight="1" spans="1:6">
      <c r="A3307" s="9" t="str">
        <f>"10090111105"</f>
        <v>10090111105</v>
      </c>
      <c r="B3307" s="10">
        <v>41.61</v>
      </c>
      <c r="C3307" s="9"/>
      <c r="D3307" s="9">
        <f t="shared" si="51"/>
        <v>41.61</v>
      </c>
      <c r="E3307" s="11"/>
      <c r="F3307" s="9"/>
    </row>
    <row r="3308" s="1" customFormat="1" customHeight="1" spans="1:6">
      <c r="A3308" s="9" t="str">
        <f>"10210111106"</f>
        <v>10210111106</v>
      </c>
      <c r="B3308" s="10">
        <v>37.08</v>
      </c>
      <c r="C3308" s="9"/>
      <c r="D3308" s="9">
        <f t="shared" si="51"/>
        <v>37.08</v>
      </c>
      <c r="E3308" s="11"/>
      <c r="F3308" s="9"/>
    </row>
    <row r="3309" s="1" customFormat="1" customHeight="1" spans="1:6">
      <c r="A3309" s="9" t="str">
        <f>"10240111107"</f>
        <v>10240111107</v>
      </c>
      <c r="B3309" s="10">
        <v>0</v>
      </c>
      <c r="C3309" s="9"/>
      <c r="D3309" s="9">
        <f t="shared" si="51"/>
        <v>0</v>
      </c>
      <c r="E3309" s="11"/>
      <c r="F3309" s="9" t="s">
        <v>7</v>
      </c>
    </row>
    <row r="3310" s="1" customFormat="1" customHeight="1" spans="1:6">
      <c r="A3310" s="9" t="str">
        <f>"10360111108"</f>
        <v>10360111108</v>
      </c>
      <c r="B3310" s="10">
        <v>36.19</v>
      </c>
      <c r="C3310" s="9"/>
      <c r="D3310" s="9">
        <f t="shared" si="51"/>
        <v>36.19</v>
      </c>
      <c r="E3310" s="11"/>
      <c r="F3310" s="9"/>
    </row>
    <row r="3311" s="1" customFormat="1" customHeight="1" spans="1:6">
      <c r="A3311" s="9" t="str">
        <f>"10380111109"</f>
        <v>10380111109</v>
      </c>
      <c r="B3311" s="10">
        <v>36.34</v>
      </c>
      <c r="C3311" s="9"/>
      <c r="D3311" s="9">
        <f t="shared" si="51"/>
        <v>36.34</v>
      </c>
      <c r="E3311" s="11"/>
      <c r="F3311" s="9"/>
    </row>
    <row r="3312" s="1" customFormat="1" customHeight="1" spans="1:6">
      <c r="A3312" s="9" t="str">
        <f>"10360111110"</f>
        <v>10360111110</v>
      </c>
      <c r="B3312" s="10">
        <v>30.83</v>
      </c>
      <c r="C3312" s="9"/>
      <c r="D3312" s="9">
        <f t="shared" si="51"/>
        <v>30.83</v>
      </c>
      <c r="E3312" s="11"/>
      <c r="F3312" s="9"/>
    </row>
    <row r="3313" s="1" customFormat="1" customHeight="1" spans="1:6">
      <c r="A3313" s="9" t="str">
        <f>"10530111111"</f>
        <v>10530111111</v>
      </c>
      <c r="B3313" s="10">
        <v>45.72</v>
      </c>
      <c r="C3313" s="9"/>
      <c r="D3313" s="9">
        <f t="shared" si="51"/>
        <v>45.72</v>
      </c>
      <c r="E3313" s="11"/>
      <c r="F3313" s="9"/>
    </row>
    <row r="3314" s="1" customFormat="1" customHeight="1" spans="1:6">
      <c r="A3314" s="9" t="str">
        <f>"10330111112"</f>
        <v>10330111112</v>
      </c>
      <c r="B3314" s="10">
        <v>35.26</v>
      </c>
      <c r="C3314" s="9"/>
      <c r="D3314" s="9">
        <f t="shared" si="51"/>
        <v>35.26</v>
      </c>
      <c r="E3314" s="11"/>
      <c r="F3314" s="9"/>
    </row>
    <row r="3315" s="1" customFormat="1" customHeight="1" spans="1:6">
      <c r="A3315" s="9" t="str">
        <f>"10360111113"</f>
        <v>10360111113</v>
      </c>
      <c r="B3315" s="10">
        <v>38.46</v>
      </c>
      <c r="C3315" s="9"/>
      <c r="D3315" s="9">
        <f t="shared" si="51"/>
        <v>38.46</v>
      </c>
      <c r="E3315" s="11"/>
      <c r="F3315" s="9"/>
    </row>
    <row r="3316" s="1" customFormat="1" customHeight="1" spans="1:6">
      <c r="A3316" s="9" t="str">
        <f>"10500111114"</f>
        <v>10500111114</v>
      </c>
      <c r="B3316" s="10">
        <v>35.61</v>
      </c>
      <c r="C3316" s="9"/>
      <c r="D3316" s="9">
        <f t="shared" si="51"/>
        <v>35.61</v>
      </c>
      <c r="E3316" s="11"/>
      <c r="F3316" s="9"/>
    </row>
    <row r="3317" s="1" customFormat="1" customHeight="1" spans="1:6">
      <c r="A3317" s="9" t="str">
        <f>"10500111115"</f>
        <v>10500111115</v>
      </c>
      <c r="B3317" s="10">
        <v>0</v>
      </c>
      <c r="C3317" s="9"/>
      <c r="D3317" s="9">
        <f t="shared" si="51"/>
        <v>0</v>
      </c>
      <c r="E3317" s="11"/>
      <c r="F3317" s="9" t="s">
        <v>7</v>
      </c>
    </row>
    <row r="3318" s="1" customFormat="1" customHeight="1" spans="1:6">
      <c r="A3318" s="9" t="str">
        <f>"10520111116"</f>
        <v>10520111116</v>
      </c>
      <c r="B3318" s="10">
        <v>35.2</v>
      </c>
      <c r="C3318" s="9"/>
      <c r="D3318" s="9">
        <f t="shared" si="51"/>
        <v>35.2</v>
      </c>
      <c r="E3318" s="11"/>
      <c r="F3318" s="9"/>
    </row>
    <row r="3319" s="1" customFormat="1" customHeight="1" spans="1:6">
      <c r="A3319" s="9" t="str">
        <f>"10440111117"</f>
        <v>10440111117</v>
      </c>
      <c r="B3319" s="10">
        <v>0</v>
      </c>
      <c r="C3319" s="9"/>
      <c r="D3319" s="9">
        <f t="shared" si="51"/>
        <v>0</v>
      </c>
      <c r="E3319" s="11"/>
      <c r="F3319" s="9" t="s">
        <v>7</v>
      </c>
    </row>
    <row r="3320" s="1" customFormat="1" customHeight="1" spans="1:6">
      <c r="A3320" s="9" t="str">
        <f>"10230111118"</f>
        <v>10230111118</v>
      </c>
      <c r="B3320" s="10">
        <v>41.52</v>
      </c>
      <c r="C3320" s="9"/>
      <c r="D3320" s="9">
        <f t="shared" si="51"/>
        <v>41.52</v>
      </c>
      <c r="E3320" s="11"/>
      <c r="F3320" s="9"/>
    </row>
    <row r="3321" s="1" customFormat="1" customHeight="1" spans="1:6">
      <c r="A3321" s="9" t="str">
        <f>"10360111119"</f>
        <v>10360111119</v>
      </c>
      <c r="B3321" s="10">
        <v>42.14</v>
      </c>
      <c r="C3321" s="9"/>
      <c r="D3321" s="9">
        <f t="shared" si="51"/>
        <v>42.14</v>
      </c>
      <c r="E3321" s="11"/>
      <c r="F3321" s="9"/>
    </row>
    <row r="3322" s="1" customFormat="1" customHeight="1" spans="1:6">
      <c r="A3322" s="9" t="str">
        <f>"10060111120"</f>
        <v>10060111120</v>
      </c>
      <c r="B3322" s="10">
        <v>41.14</v>
      </c>
      <c r="C3322" s="9"/>
      <c r="D3322" s="9">
        <f t="shared" si="51"/>
        <v>41.14</v>
      </c>
      <c r="E3322" s="11"/>
      <c r="F3322" s="9"/>
    </row>
    <row r="3323" s="1" customFormat="1" customHeight="1" spans="1:6">
      <c r="A3323" s="9" t="str">
        <f>"10080111121"</f>
        <v>10080111121</v>
      </c>
      <c r="B3323" s="10">
        <v>0</v>
      </c>
      <c r="C3323" s="9"/>
      <c r="D3323" s="9">
        <f t="shared" si="51"/>
        <v>0</v>
      </c>
      <c r="E3323" s="11"/>
      <c r="F3323" s="9" t="s">
        <v>7</v>
      </c>
    </row>
    <row r="3324" s="1" customFormat="1" customHeight="1" spans="1:6">
      <c r="A3324" s="9" t="str">
        <f>"10360111122"</f>
        <v>10360111122</v>
      </c>
      <c r="B3324" s="10">
        <v>0</v>
      </c>
      <c r="C3324" s="9"/>
      <c r="D3324" s="9">
        <f t="shared" si="51"/>
        <v>0</v>
      </c>
      <c r="E3324" s="11"/>
      <c r="F3324" s="9" t="s">
        <v>7</v>
      </c>
    </row>
    <row r="3325" s="1" customFormat="1" customHeight="1" spans="1:6">
      <c r="A3325" s="9" t="str">
        <f>"10450111123"</f>
        <v>10450111123</v>
      </c>
      <c r="B3325" s="10">
        <v>42.58</v>
      </c>
      <c r="C3325" s="9"/>
      <c r="D3325" s="9">
        <f t="shared" si="51"/>
        <v>42.58</v>
      </c>
      <c r="E3325" s="11"/>
      <c r="F3325" s="9"/>
    </row>
    <row r="3326" s="1" customFormat="1" customHeight="1" spans="1:6">
      <c r="A3326" s="9" t="str">
        <f>"10360111124"</f>
        <v>10360111124</v>
      </c>
      <c r="B3326" s="10">
        <v>40.83</v>
      </c>
      <c r="C3326" s="9"/>
      <c r="D3326" s="9">
        <f t="shared" si="51"/>
        <v>40.83</v>
      </c>
      <c r="E3326" s="11"/>
      <c r="F3326" s="9"/>
    </row>
    <row r="3327" s="1" customFormat="1" customHeight="1" spans="1:6">
      <c r="A3327" s="9" t="str">
        <f>"10110111125"</f>
        <v>10110111125</v>
      </c>
      <c r="B3327" s="10">
        <v>43.59</v>
      </c>
      <c r="C3327" s="9"/>
      <c r="D3327" s="9">
        <f t="shared" si="51"/>
        <v>43.59</v>
      </c>
      <c r="E3327" s="11"/>
      <c r="F3327" s="9"/>
    </row>
    <row r="3328" s="1" customFormat="1" customHeight="1" spans="1:6">
      <c r="A3328" s="9" t="str">
        <f>"10210111126"</f>
        <v>10210111126</v>
      </c>
      <c r="B3328" s="10">
        <v>36.34</v>
      </c>
      <c r="C3328" s="9"/>
      <c r="D3328" s="9">
        <f t="shared" si="51"/>
        <v>36.34</v>
      </c>
      <c r="E3328" s="11"/>
      <c r="F3328" s="9"/>
    </row>
    <row r="3329" s="1" customFormat="1" customHeight="1" spans="1:6">
      <c r="A3329" s="9" t="str">
        <f>"10360111127"</f>
        <v>10360111127</v>
      </c>
      <c r="B3329" s="10">
        <v>33.45</v>
      </c>
      <c r="C3329" s="9"/>
      <c r="D3329" s="9">
        <f t="shared" si="51"/>
        <v>33.45</v>
      </c>
      <c r="E3329" s="11"/>
      <c r="F3329" s="9"/>
    </row>
    <row r="3330" s="1" customFormat="1" customHeight="1" spans="1:6">
      <c r="A3330" s="9" t="str">
        <f>"10510111128"</f>
        <v>10510111128</v>
      </c>
      <c r="B3330" s="10">
        <v>40.92</v>
      </c>
      <c r="C3330" s="9">
        <v>10</v>
      </c>
      <c r="D3330" s="9">
        <f t="shared" si="51"/>
        <v>50.92</v>
      </c>
      <c r="E3330" s="12" t="s">
        <v>8</v>
      </c>
      <c r="F3330" s="9"/>
    </row>
    <row r="3331" s="1" customFormat="1" customHeight="1" spans="1:6">
      <c r="A3331" s="9" t="str">
        <f>"10110111129"</f>
        <v>10110111129</v>
      </c>
      <c r="B3331" s="10">
        <v>44.43</v>
      </c>
      <c r="C3331" s="9"/>
      <c r="D3331" s="9">
        <f t="shared" ref="D3331:D3394" si="52">SUM(B3331:C3331)</f>
        <v>44.43</v>
      </c>
      <c r="E3331" s="11"/>
      <c r="F3331" s="9"/>
    </row>
    <row r="3332" s="1" customFormat="1" customHeight="1" spans="1:6">
      <c r="A3332" s="9" t="str">
        <f>"10100111130"</f>
        <v>10100111130</v>
      </c>
      <c r="B3332" s="10">
        <v>45.1</v>
      </c>
      <c r="C3332" s="9"/>
      <c r="D3332" s="9">
        <f t="shared" si="52"/>
        <v>45.1</v>
      </c>
      <c r="E3332" s="11"/>
      <c r="F3332" s="9"/>
    </row>
    <row r="3333" s="1" customFormat="1" customHeight="1" spans="1:6">
      <c r="A3333" s="9" t="str">
        <f>"10140111201"</f>
        <v>10140111201</v>
      </c>
      <c r="B3333" s="10">
        <v>0</v>
      </c>
      <c r="C3333" s="9"/>
      <c r="D3333" s="9">
        <f t="shared" si="52"/>
        <v>0</v>
      </c>
      <c r="E3333" s="11"/>
      <c r="F3333" s="9" t="s">
        <v>7</v>
      </c>
    </row>
    <row r="3334" s="1" customFormat="1" customHeight="1" spans="1:6">
      <c r="A3334" s="9" t="str">
        <f>"10360111202"</f>
        <v>10360111202</v>
      </c>
      <c r="B3334" s="10">
        <v>32.38</v>
      </c>
      <c r="C3334" s="9"/>
      <c r="D3334" s="9">
        <f t="shared" si="52"/>
        <v>32.38</v>
      </c>
      <c r="E3334" s="11"/>
      <c r="F3334" s="9"/>
    </row>
    <row r="3335" s="1" customFormat="1" customHeight="1" spans="1:6">
      <c r="A3335" s="9" t="str">
        <f>"10140111203"</f>
        <v>10140111203</v>
      </c>
      <c r="B3335" s="10">
        <v>0</v>
      </c>
      <c r="C3335" s="9"/>
      <c r="D3335" s="9">
        <f t="shared" si="52"/>
        <v>0</v>
      </c>
      <c r="E3335" s="11"/>
      <c r="F3335" s="9" t="s">
        <v>7</v>
      </c>
    </row>
    <row r="3336" s="1" customFormat="1" customHeight="1" spans="1:6">
      <c r="A3336" s="9" t="str">
        <f>"10360111204"</f>
        <v>10360111204</v>
      </c>
      <c r="B3336" s="10">
        <v>0</v>
      </c>
      <c r="C3336" s="9"/>
      <c r="D3336" s="9">
        <f t="shared" si="52"/>
        <v>0</v>
      </c>
      <c r="E3336" s="11"/>
      <c r="F3336" s="9" t="s">
        <v>7</v>
      </c>
    </row>
    <row r="3337" s="1" customFormat="1" customHeight="1" spans="1:6">
      <c r="A3337" s="9" t="str">
        <f>"10270111205"</f>
        <v>10270111205</v>
      </c>
      <c r="B3337" s="10">
        <v>0</v>
      </c>
      <c r="C3337" s="9"/>
      <c r="D3337" s="9">
        <f t="shared" si="52"/>
        <v>0</v>
      </c>
      <c r="E3337" s="11"/>
      <c r="F3337" s="9" t="s">
        <v>7</v>
      </c>
    </row>
    <row r="3338" s="1" customFormat="1" customHeight="1" spans="1:6">
      <c r="A3338" s="9" t="str">
        <f>"10230111206"</f>
        <v>10230111206</v>
      </c>
      <c r="B3338" s="10">
        <v>37.72</v>
      </c>
      <c r="C3338" s="9"/>
      <c r="D3338" s="9">
        <f t="shared" si="52"/>
        <v>37.72</v>
      </c>
      <c r="E3338" s="11"/>
      <c r="F3338" s="9"/>
    </row>
    <row r="3339" s="1" customFormat="1" customHeight="1" spans="1:6">
      <c r="A3339" s="9" t="str">
        <f>"10010111207"</f>
        <v>10010111207</v>
      </c>
      <c r="B3339" s="10">
        <v>38.67</v>
      </c>
      <c r="C3339" s="9"/>
      <c r="D3339" s="9">
        <f t="shared" si="52"/>
        <v>38.67</v>
      </c>
      <c r="E3339" s="11"/>
      <c r="F3339" s="9"/>
    </row>
    <row r="3340" s="1" customFormat="1" customHeight="1" spans="1:6">
      <c r="A3340" s="9" t="str">
        <f>"10020111208"</f>
        <v>10020111208</v>
      </c>
      <c r="B3340" s="10">
        <v>0</v>
      </c>
      <c r="C3340" s="9"/>
      <c r="D3340" s="9">
        <f t="shared" si="52"/>
        <v>0</v>
      </c>
      <c r="E3340" s="11"/>
      <c r="F3340" s="9" t="s">
        <v>7</v>
      </c>
    </row>
    <row r="3341" s="1" customFormat="1" customHeight="1" spans="1:6">
      <c r="A3341" s="9" t="str">
        <f>"10300111209"</f>
        <v>10300111209</v>
      </c>
      <c r="B3341" s="10">
        <v>0</v>
      </c>
      <c r="C3341" s="9"/>
      <c r="D3341" s="9">
        <f t="shared" si="52"/>
        <v>0</v>
      </c>
      <c r="E3341" s="11"/>
      <c r="F3341" s="9" t="s">
        <v>7</v>
      </c>
    </row>
    <row r="3342" s="1" customFormat="1" customHeight="1" spans="1:6">
      <c r="A3342" s="9" t="str">
        <f>"20180111210"</f>
        <v>20180111210</v>
      </c>
      <c r="B3342" s="10">
        <v>49.65</v>
      </c>
      <c r="C3342" s="9"/>
      <c r="D3342" s="9">
        <f t="shared" si="52"/>
        <v>49.65</v>
      </c>
      <c r="E3342" s="11"/>
      <c r="F3342" s="9"/>
    </row>
    <row r="3343" s="1" customFormat="1" customHeight="1" spans="1:6">
      <c r="A3343" s="9" t="str">
        <f>"10360111211"</f>
        <v>10360111211</v>
      </c>
      <c r="B3343" s="10">
        <v>0</v>
      </c>
      <c r="C3343" s="9"/>
      <c r="D3343" s="9">
        <f t="shared" si="52"/>
        <v>0</v>
      </c>
      <c r="E3343" s="11"/>
      <c r="F3343" s="9" t="s">
        <v>7</v>
      </c>
    </row>
    <row r="3344" s="1" customFormat="1" customHeight="1" spans="1:6">
      <c r="A3344" s="9" t="str">
        <f>"10460111212"</f>
        <v>10460111212</v>
      </c>
      <c r="B3344" s="10">
        <v>0</v>
      </c>
      <c r="C3344" s="9"/>
      <c r="D3344" s="9">
        <f t="shared" si="52"/>
        <v>0</v>
      </c>
      <c r="E3344" s="11"/>
      <c r="F3344" s="9" t="s">
        <v>7</v>
      </c>
    </row>
    <row r="3345" s="1" customFormat="1" customHeight="1" spans="1:6">
      <c r="A3345" s="9" t="str">
        <f>"10360111213"</f>
        <v>10360111213</v>
      </c>
      <c r="B3345" s="10">
        <v>0</v>
      </c>
      <c r="C3345" s="9"/>
      <c r="D3345" s="9">
        <f t="shared" si="52"/>
        <v>0</v>
      </c>
      <c r="E3345" s="11"/>
      <c r="F3345" s="9" t="s">
        <v>7</v>
      </c>
    </row>
    <row r="3346" s="1" customFormat="1" customHeight="1" spans="1:6">
      <c r="A3346" s="9" t="str">
        <f>"10330111214"</f>
        <v>10330111214</v>
      </c>
      <c r="B3346" s="10">
        <v>0</v>
      </c>
      <c r="C3346" s="9"/>
      <c r="D3346" s="9">
        <f t="shared" si="52"/>
        <v>0</v>
      </c>
      <c r="E3346" s="11"/>
      <c r="F3346" s="9" t="s">
        <v>7</v>
      </c>
    </row>
    <row r="3347" s="1" customFormat="1" customHeight="1" spans="1:6">
      <c r="A3347" s="9" t="str">
        <f>"10440111215"</f>
        <v>10440111215</v>
      </c>
      <c r="B3347" s="10">
        <v>45.21</v>
      </c>
      <c r="C3347" s="9"/>
      <c r="D3347" s="9">
        <f t="shared" si="52"/>
        <v>45.21</v>
      </c>
      <c r="E3347" s="11"/>
      <c r="F3347" s="9"/>
    </row>
    <row r="3348" s="1" customFormat="1" customHeight="1" spans="1:6">
      <c r="A3348" s="9" t="str">
        <f>"10510111216"</f>
        <v>10510111216</v>
      </c>
      <c r="B3348" s="10">
        <v>36.03</v>
      </c>
      <c r="C3348" s="9"/>
      <c r="D3348" s="9">
        <f t="shared" si="52"/>
        <v>36.03</v>
      </c>
      <c r="E3348" s="11"/>
      <c r="F3348" s="9"/>
    </row>
    <row r="3349" s="1" customFormat="1" customHeight="1" spans="1:6">
      <c r="A3349" s="9" t="str">
        <f>"10010111217"</f>
        <v>10010111217</v>
      </c>
      <c r="B3349" s="10">
        <v>47.41</v>
      </c>
      <c r="C3349" s="9"/>
      <c r="D3349" s="9">
        <f t="shared" si="52"/>
        <v>47.41</v>
      </c>
      <c r="E3349" s="11"/>
      <c r="F3349" s="9"/>
    </row>
    <row r="3350" s="1" customFormat="1" customHeight="1" spans="1:6">
      <c r="A3350" s="9" t="str">
        <f>"10360111218"</f>
        <v>10360111218</v>
      </c>
      <c r="B3350" s="10">
        <v>34.36</v>
      </c>
      <c r="C3350" s="9"/>
      <c r="D3350" s="9">
        <f t="shared" si="52"/>
        <v>34.36</v>
      </c>
      <c r="E3350" s="11"/>
      <c r="F3350" s="9"/>
    </row>
    <row r="3351" s="1" customFormat="1" customHeight="1" spans="1:6">
      <c r="A3351" s="9" t="str">
        <f>"10450111219"</f>
        <v>10450111219</v>
      </c>
      <c r="B3351" s="10">
        <v>40.59</v>
      </c>
      <c r="C3351" s="9"/>
      <c r="D3351" s="9">
        <f t="shared" si="52"/>
        <v>40.59</v>
      </c>
      <c r="E3351" s="11"/>
      <c r="F3351" s="9"/>
    </row>
    <row r="3352" s="1" customFormat="1" customHeight="1" spans="1:6">
      <c r="A3352" s="9" t="str">
        <f>"10080111220"</f>
        <v>10080111220</v>
      </c>
      <c r="B3352" s="10">
        <v>39.17</v>
      </c>
      <c r="C3352" s="9"/>
      <c r="D3352" s="9">
        <f t="shared" si="52"/>
        <v>39.17</v>
      </c>
      <c r="E3352" s="11"/>
      <c r="F3352" s="9"/>
    </row>
    <row r="3353" s="1" customFormat="1" customHeight="1" spans="1:6">
      <c r="A3353" s="9" t="str">
        <f>"10520111221"</f>
        <v>10520111221</v>
      </c>
      <c r="B3353" s="10">
        <v>41.19</v>
      </c>
      <c r="C3353" s="9"/>
      <c r="D3353" s="9">
        <f t="shared" si="52"/>
        <v>41.19</v>
      </c>
      <c r="E3353" s="11"/>
      <c r="F3353" s="9"/>
    </row>
    <row r="3354" s="1" customFormat="1" customHeight="1" spans="1:6">
      <c r="A3354" s="9" t="str">
        <f>"10530111222"</f>
        <v>10530111222</v>
      </c>
      <c r="B3354" s="10">
        <v>34.2</v>
      </c>
      <c r="C3354" s="9"/>
      <c r="D3354" s="9">
        <f t="shared" si="52"/>
        <v>34.2</v>
      </c>
      <c r="E3354" s="11"/>
      <c r="F3354" s="9"/>
    </row>
    <row r="3355" s="1" customFormat="1" customHeight="1" spans="1:6">
      <c r="A3355" s="9" t="str">
        <f>"10510111223"</f>
        <v>10510111223</v>
      </c>
      <c r="B3355" s="10">
        <v>38.83</v>
      </c>
      <c r="C3355" s="9"/>
      <c r="D3355" s="9">
        <f t="shared" si="52"/>
        <v>38.83</v>
      </c>
      <c r="E3355" s="11"/>
      <c r="F3355" s="9"/>
    </row>
    <row r="3356" s="1" customFormat="1" customHeight="1" spans="1:6">
      <c r="A3356" s="9" t="str">
        <f>"10510111224"</f>
        <v>10510111224</v>
      </c>
      <c r="B3356" s="10">
        <v>35.86</v>
      </c>
      <c r="C3356" s="9"/>
      <c r="D3356" s="9">
        <f t="shared" si="52"/>
        <v>35.86</v>
      </c>
      <c r="E3356" s="11"/>
      <c r="F3356" s="9"/>
    </row>
    <row r="3357" s="1" customFormat="1" customHeight="1" spans="1:6">
      <c r="A3357" s="9" t="str">
        <f>"10100111225"</f>
        <v>10100111225</v>
      </c>
      <c r="B3357" s="10">
        <v>39.28</v>
      </c>
      <c r="C3357" s="9"/>
      <c r="D3357" s="9">
        <f t="shared" si="52"/>
        <v>39.28</v>
      </c>
      <c r="E3357" s="11"/>
      <c r="F3357" s="9"/>
    </row>
    <row r="3358" s="1" customFormat="1" customHeight="1" spans="1:6">
      <c r="A3358" s="9" t="str">
        <f>"10270111226"</f>
        <v>10270111226</v>
      </c>
      <c r="B3358" s="10">
        <v>37.93</v>
      </c>
      <c r="C3358" s="9"/>
      <c r="D3358" s="9">
        <f t="shared" si="52"/>
        <v>37.93</v>
      </c>
      <c r="E3358" s="11"/>
      <c r="F3358" s="9"/>
    </row>
    <row r="3359" s="1" customFormat="1" customHeight="1" spans="1:6">
      <c r="A3359" s="9" t="str">
        <f>"10130111227"</f>
        <v>10130111227</v>
      </c>
      <c r="B3359" s="10">
        <v>0</v>
      </c>
      <c r="C3359" s="9"/>
      <c r="D3359" s="9">
        <f t="shared" si="52"/>
        <v>0</v>
      </c>
      <c r="E3359" s="11"/>
      <c r="F3359" s="9" t="s">
        <v>7</v>
      </c>
    </row>
    <row r="3360" s="1" customFormat="1" customHeight="1" spans="1:6">
      <c r="A3360" s="9" t="str">
        <f>"10230111228"</f>
        <v>10230111228</v>
      </c>
      <c r="B3360" s="10">
        <v>34.26</v>
      </c>
      <c r="C3360" s="9"/>
      <c r="D3360" s="9">
        <f t="shared" si="52"/>
        <v>34.26</v>
      </c>
      <c r="E3360" s="11"/>
      <c r="F3360" s="9"/>
    </row>
    <row r="3361" s="1" customFormat="1" customHeight="1" spans="1:6">
      <c r="A3361" s="9" t="str">
        <f>"10330111229"</f>
        <v>10330111229</v>
      </c>
      <c r="B3361" s="10">
        <v>31.87</v>
      </c>
      <c r="C3361" s="9"/>
      <c r="D3361" s="9">
        <f t="shared" si="52"/>
        <v>31.87</v>
      </c>
      <c r="E3361" s="11"/>
      <c r="F3361" s="9"/>
    </row>
    <row r="3362" s="1" customFormat="1" customHeight="1" spans="1:6">
      <c r="A3362" s="9" t="str">
        <f>"10350111230"</f>
        <v>10350111230</v>
      </c>
      <c r="B3362" s="10">
        <v>0</v>
      </c>
      <c r="C3362" s="9"/>
      <c r="D3362" s="9">
        <f t="shared" si="52"/>
        <v>0</v>
      </c>
      <c r="E3362" s="11"/>
      <c r="F3362" s="9" t="s">
        <v>7</v>
      </c>
    </row>
    <row r="3363" s="1" customFormat="1" customHeight="1" spans="1:6">
      <c r="A3363" s="9" t="str">
        <f>"10530111301"</f>
        <v>10530111301</v>
      </c>
      <c r="B3363" s="10">
        <v>0</v>
      </c>
      <c r="C3363" s="9"/>
      <c r="D3363" s="9">
        <f t="shared" si="52"/>
        <v>0</v>
      </c>
      <c r="E3363" s="11"/>
      <c r="F3363" s="9" t="s">
        <v>7</v>
      </c>
    </row>
    <row r="3364" s="1" customFormat="1" customHeight="1" spans="1:6">
      <c r="A3364" s="9" t="str">
        <f>"10360111302"</f>
        <v>10360111302</v>
      </c>
      <c r="B3364" s="10">
        <v>0</v>
      </c>
      <c r="C3364" s="9"/>
      <c r="D3364" s="9">
        <f t="shared" si="52"/>
        <v>0</v>
      </c>
      <c r="E3364" s="11"/>
      <c r="F3364" s="9" t="s">
        <v>7</v>
      </c>
    </row>
    <row r="3365" s="1" customFormat="1" customHeight="1" spans="1:6">
      <c r="A3365" s="9" t="str">
        <f>"10210111303"</f>
        <v>10210111303</v>
      </c>
      <c r="B3365" s="10">
        <v>0</v>
      </c>
      <c r="C3365" s="9"/>
      <c r="D3365" s="9">
        <f t="shared" si="52"/>
        <v>0</v>
      </c>
      <c r="E3365" s="11"/>
      <c r="F3365" s="9" t="s">
        <v>7</v>
      </c>
    </row>
    <row r="3366" s="1" customFormat="1" customHeight="1" spans="1:6">
      <c r="A3366" s="9" t="str">
        <f>"10360111304"</f>
        <v>10360111304</v>
      </c>
      <c r="B3366" s="10">
        <v>38.78</v>
      </c>
      <c r="C3366" s="9"/>
      <c r="D3366" s="9">
        <f t="shared" si="52"/>
        <v>38.78</v>
      </c>
      <c r="E3366" s="11"/>
      <c r="F3366" s="9"/>
    </row>
    <row r="3367" s="1" customFormat="1" customHeight="1" spans="1:6">
      <c r="A3367" s="9" t="str">
        <f>"10450111305"</f>
        <v>10450111305</v>
      </c>
      <c r="B3367" s="10">
        <v>39.72</v>
      </c>
      <c r="C3367" s="9"/>
      <c r="D3367" s="9">
        <f t="shared" si="52"/>
        <v>39.72</v>
      </c>
      <c r="E3367" s="11"/>
      <c r="F3367" s="9"/>
    </row>
    <row r="3368" s="1" customFormat="1" customHeight="1" spans="1:6">
      <c r="A3368" s="9" t="str">
        <f>"10360111306"</f>
        <v>10360111306</v>
      </c>
      <c r="B3368" s="10">
        <v>38.32</v>
      </c>
      <c r="C3368" s="9"/>
      <c r="D3368" s="9">
        <f t="shared" si="52"/>
        <v>38.32</v>
      </c>
      <c r="E3368" s="11"/>
      <c r="F3368" s="9"/>
    </row>
    <row r="3369" s="1" customFormat="1" customHeight="1" spans="1:6">
      <c r="A3369" s="9" t="str">
        <f>"10010111307"</f>
        <v>10010111307</v>
      </c>
      <c r="B3369" s="10">
        <v>37.14</v>
      </c>
      <c r="C3369" s="9"/>
      <c r="D3369" s="9">
        <f t="shared" si="52"/>
        <v>37.14</v>
      </c>
      <c r="E3369" s="11"/>
      <c r="F3369" s="9"/>
    </row>
    <row r="3370" s="1" customFormat="1" customHeight="1" spans="1:6">
      <c r="A3370" s="9" t="str">
        <f>"10180111308"</f>
        <v>10180111308</v>
      </c>
      <c r="B3370" s="10">
        <v>35.3</v>
      </c>
      <c r="C3370" s="9"/>
      <c r="D3370" s="9">
        <f t="shared" si="52"/>
        <v>35.3</v>
      </c>
      <c r="E3370" s="11"/>
      <c r="F3370" s="9"/>
    </row>
    <row r="3371" s="1" customFormat="1" customHeight="1" spans="1:6">
      <c r="A3371" s="9" t="str">
        <f>"10360111309"</f>
        <v>10360111309</v>
      </c>
      <c r="B3371" s="10">
        <v>57.97</v>
      </c>
      <c r="C3371" s="9"/>
      <c r="D3371" s="9">
        <f t="shared" si="52"/>
        <v>57.97</v>
      </c>
      <c r="E3371" s="11"/>
      <c r="F3371" s="9"/>
    </row>
    <row r="3372" s="1" customFormat="1" customHeight="1" spans="1:6">
      <c r="A3372" s="9" t="str">
        <f>"10290111310"</f>
        <v>10290111310</v>
      </c>
      <c r="B3372" s="10">
        <v>45.5</v>
      </c>
      <c r="C3372" s="9"/>
      <c r="D3372" s="9">
        <f t="shared" si="52"/>
        <v>45.5</v>
      </c>
      <c r="E3372" s="11"/>
      <c r="F3372" s="9"/>
    </row>
    <row r="3373" s="1" customFormat="1" customHeight="1" spans="1:6">
      <c r="A3373" s="9" t="str">
        <f>"10520111311"</f>
        <v>10520111311</v>
      </c>
      <c r="B3373" s="10">
        <v>54.63</v>
      </c>
      <c r="C3373" s="9"/>
      <c r="D3373" s="9">
        <f t="shared" si="52"/>
        <v>54.63</v>
      </c>
      <c r="E3373" s="11"/>
      <c r="F3373" s="9"/>
    </row>
    <row r="3374" s="1" customFormat="1" customHeight="1" spans="1:6">
      <c r="A3374" s="9" t="str">
        <f>"10240111312"</f>
        <v>10240111312</v>
      </c>
      <c r="B3374" s="10">
        <v>43.87</v>
      </c>
      <c r="C3374" s="9"/>
      <c r="D3374" s="9">
        <f t="shared" si="52"/>
        <v>43.87</v>
      </c>
      <c r="E3374" s="11"/>
      <c r="F3374" s="9"/>
    </row>
    <row r="3375" s="1" customFormat="1" customHeight="1" spans="1:6">
      <c r="A3375" s="9" t="str">
        <f>"10100111313"</f>
        <v>10100111313</v>
      </c>
      <c r="B3375" s="10">
        <v>36.43</v>
      </c>
      <c r="C3375" s="9"/>
      <c r="D3375" s="9">
        <f t="shared" si="52"/>
        <v>36.43</v>
      </c>
      <c r="E3375" s="11"/>
      <c r="F3375" s="9"/>
    </row>
    <row r="3376" s="1" customFormat="1" customHeight="1" spans="1:6">
      <c r="A3376" s="9" t="str">
        <f>"10530111314"</f>
        <v>10530111314</v>
      </c>
      <c r="B3376" s="10">
        <v>43.95</v>
      </c>
      <c r="C3376" s="9"/>
      <c r="D3376" s="9">
        <f t="shared" si="52"/>
        <v>43.95</v>
      </c>
      <c r="E3376" s="11"/>
      <c r="F3376" s="9"/>
    </row>
    <row r="3377" s="1" customFormat="1" customHeight="1" spans="1:6">
      <c r="A3377" s="9" t="str">
        <f>"10130111315"</f>
        <v>10130111315</v>
      </c>
      <c r="B3377" s="10">
        <v>41.13</v>
      </c>
      <c r="C3377" s="9"/>
      <c r="D3377" s="9">
        <f t="shared" si="52"/>
        <v>41.13</v>
      </c>
      <c r="E3377" s="11"/>
      <c r="F3377" s="9"/>
    </row>
    <row r="3378" s="1" customFormat="1" customHeight="1" spans="1:6">
      <c r="A3378" s="9" t="str">
        <f>"10330111316"</f>
        <v>10330111316</v>
      </c>
      <c r="B3378" s="10">
        <v>34.71</v>
      </c>
      <c r="C3378" s="9"/>
      <c r="D3378" s="9">
        <f t="shared" si="52"/>
        <v>34.71</v>
      </c>
      <c r="E3378" s="11"/>
      <c r="F3378" s="9"/>
    </row>
    <row r="3379" s="1" customFormat="1" customHeight="1" spans="1:6">
      <c r="A3379" s="9" t="str">
        <f>"10080111317"</f>
        <v>10080111317</v>
      </c>
      <c r="B3379" s="10">
        <v>0</v>
      </c>
      <c r="C3379" s="9"/>
      <c r="D3379" s="9">
        <f t="shared" si="52"/>
        <v>0</v>
      </c>
      <c r="E3379" s="11"/>
      <c r="F3379" s="9" t="s">
        <v>7</v>
      </c>
    </row>
    <row r="3380" s="1" customFormat="1" customHeight="1" spans="1:6">
      <c r="A3380" s="9" t="str">
        <f>"10510111318"</f>
        <v>10510111318</v>
      </c>
      <c r="B3380" s="10">
        <v>23.72</v>
      </c>
      <c r="C3380" s="9"/>
      <c r="D3380" s="9">
        <f t="shared" si="52"/>
        <v>23.72</v>
      </c>
      <c r="E3380" s="11"/>
      <c r="F3380" s="9"/>
    </row>
    <row r="3381" s="1" customFormat="1" customHeight="1" spans="1:6">
      <c r="A3381" s="9" t="str">
        <f>"10360111319"</f>
        <v>10360111319</v>
      </c>
      <c r="B3381" s="10">
        <v>39.84</v>
      </c>
      <c r="C3381" s="9"/>
      <c r="D3381" s="9">
        <f t="shared" si="52"/>
        <v>39.84</v>
      </c>
      <c r="E3381" s="11"/>
      <c r="F3381" s="9"/>
    </row>
    <row r="3382" s="1" customFormat="1" customHeight="1" spans="1:6">
      <c r="A3382" s="9" t="str">
        <f>"10510111320"</f>
        <v>10510111320</v>
      </c>
      <c r="B3382" s="10">
        <v>0</v>
      </c>
      <c r="C3382" s="9"/>
      <c r="D3382" s="9">
        <f t="shared" si="52"/>
        <v>0</v>
      </c>
      <c r="E3382" s="11"/>
      <c r="F3382" s="9" t="s">
        <v>7</v>
      </c>
    </row>
    <row r="3383" s="1" customFormat="1" customHeight="1" spans="1:6">
      <c r="A3383" s="9" t="str">
        <f>"10510111321"</f>
        <v>10510111321</v>
      </c>
      <c r="B3383" s="10">
        <v>33.71</v>
      </c>
      <c r="C3383" s="9"/>
      <c r="D3383" s="9">
        <f t="shared" si="52"/>
        <v>33.71</v>
      </c>
      <c r="E3383" s="11"/>
      <c r="F3383" s="9"/>
    </row>
    <row r="3384" s="1" customFormat="1" customHeight="1" spans="1:6">
      <c r="A3384" s="9" t="str">
        <f>"10210111322"</f>
        <v>10210111322</v>
      </c>
      <c r="B3384" s="10">
        <v>39.95</v>
      </c>
      <c r="C3384" s="9"/>
      <c r="D3384" s="9">
        <f t="shared" si="52"/>
        <v>39.95</v>
      </c>
      <c r="E3384" s="11"/>
      <c r="F3384" s="9"/>
    </row>
    <row r="3385" s="1" customFormat="1" customHeight="1" spans="1:6">
      <c r="A3385" s="9" t="str">
        <f>"10240111323"</f>
        <v>10240111323</v>
      </c>
      <c r="B3385" s="10">
        <v>73.15</v>
      </c>
      <c r="C3385" s="9"/>
      <c r="D3385" s="9">
        <f t="shared" si="52"/>
        <v>73.15</v>
      </c>
      <c r="E3385" s="11"/>
      <c r="F3385" s="9"/>
    </row>
    <row r="3386" s="1" customFormat="1" customHeight="1" spans="1:6">
      <c r="A3386" s="9" t="str">
        <f>"10360111324"</f>
        <v>10360111324</v>
      </c>
      <c r="B3386" s="10">
        <v>43.96</v>
      </c>
      <c r="C3386" s="9"/>
      <c r="D3386" s="9">
        <f t="shared" si="52"/>
        <v>43.96</v>
      </c>
      <c r="E3386" s="11"/>
      <c r="F3386" s="9"/>
    </row>
    <row r="3387" s="1" customFormat="1" customHeight="1" spans="1:6">
      <c r="A3387" s="9" t="str">
        <f>"10500111325"</f>
        <v>10500111325</v>
      </c>
      <c r="B3387" s="10">
        <v>37.56</v>
      </c>
      <c r="C3387" s="9"/>
      <c r="D3387" s="9">
        <f t="shared" si="52"/>
        <v>37.56</v>
      </c>
      <c r="E3387" s="11"/>
      <c r="F3387" s="9"/>
    </row>
    <row r="3388" s="1" customFormat="1" customHeight="1" spans="1:6">
      <c r="A3388" s="9" t="str">
        <f>"10110111326"</f>
        <v>10110111326</v>
      </c>
      <c r="B3388" s="10">
        <v>43.54</v>
      </c>
      <c r="C3388" s="9"/>
      <c r="D3388" s="9">
        <f t="shared" si="52"/>
        <v>43.54</v>
      </c>
      <c r="E3388" s="11"/>
      <c r="F3388" s="9"/>
    </row>
    <row r="3389" s="1" customFormat="1" customHeight="1" spans="1:6">
      <c r="A3389" s="9" t="str">
        <f>"10240111327"</f>
        <v>10240111327</v>
      </c>
      <c r="B3389" s="10">
        <v>38.09</v>
      </c>
      <c r="C3389" s="9"/>
      <c r="D3389" s="9">
        <f t="shared" si="52"/>
        <v>38.09</v>
      </c>
      <c r="E3389" s="11"/>
      <c r="F3389" s="9"/>
    </row>
    <row r="3390" s="1" customFormat="1" customHeight="1" spans="1:6">
      <c r="A3390" s="9" t="str">
        <f>"10170111328"</f>
        <v>10170111328</v>
      </c>
      <c r="B3390" s="10">
        <v>33.79</v>
      </c>
      <c r="C3390" s="9"/>
      <c r="D3390" s="9">
        <f t="shared" si="52"/>
        <v>33.79</v>
      </c>
      <c r="E3390" s="11"/>
      <c r="F3390" s="9"/>
    </row>
    <row r="3391" s="1" customFormat="1" customHeight="1" spans="1:6">
      <c r="A3391" s="9" t="str">
        <f>"10060111329"</f>
        <v>10060111329</v>
      </c>
      <c r="B3391" s="10">
        <v>32.69</v>
      </c>
      <c r="C3391" s="9"/>
      <c r="D3391" s="9">
        <f t="shared" si="52"/>
        <v>32.69</v>
      </c>
      <c r="E3391" s="11"/>
      <c r="F3391" s="9"/>
    </row>
    <row r="3392" s="1" customFormat="1" customHeight="1" spans="1:6">
      <c r="A3392" s="9" t="str">
        <f>"10360111330"</f>
        <v>10360111330</v>
      </c>
      <c r="B3392" s="10">
        <v>38.24</v>
      </c>
      <c r="C3392" s="9"/>
      <c r="D3392" s="9">
        <f t="shared" si="52"/>
        <v>38.24</v>
      </c>
      <c r="E3392" s="11"/>
      <c r="F3392" s="9"/>
    </row>
    <row r="3393" s="1" customFormat="1" customHeight="1" spans="1:6">
      <c r="A3393" s="9" t="str">
        <f>"10510111401"</f>
        <v>10510111401</v>
      </c>
      <c r="B3393" s="10">
        <v>45.12</v>
      </c>
      <c r="C3393" s="9"/>
      <c r="D3393" s="9">
        <f t="shared" si="52"/>
        <v>45.12</v>
      </c>
      <c r="E3393" s="11"/>
      <c r="F3393" s="9"/>
    </row>
    <row r="3394" s="1" customFormat="1" customHeight="1" spans="1:6">
      <c r="A3394" s="9" t="str">
        <f>"10140111402"</f>
        <v>10140111402</v>
      </c>
      <c r="B3394" s="10">
        <v>42.99</v>
      </c>
      <c r="C3394" s="9"/>
      <c r="D3394" s="9">
        <f t="shared" si="52"/>
        <v>42.99</v>
      </c>
      <c r="E3394" s="11"/>
      <c r="F3394" s="9"/>
    </row>
    <row r="3395" s="1" customFormat="1" customHeight="1" spans="1:6">
      <c r="A3395" s="9" t="str">
        <f>"10460111403"</f>
        <v>10460111403</v>
      </c>
      <c r="B3395" s="10">
        <v>38.07</v>
      </c>
      <c r="C3395" s="9"/>
      <c r="D3395" s="9">
        <f t="shared" ref="D3395:D3458" si="53">SUM(B3395:C3395)</f>
        <v>38.07</v>
      </c>
      <c r="E3395" s="11"/>
      <c r="F3395" s="9"/>
    </row>
    <row r="3396" s="1" customFormat="1" customHeight="1" spans="1:6">
      <c r="A3396" s="9" t="str">
        <f>"10360111404"</f>
        <v>10360111404</v>
      </c>
      <c r="B3396" s="10">
        <v>32.37</v>
      </c>
      <c r="C3396" s="9"/>
      <c r="D3396" s="9">
        <f t="shared" si="53"/>
        <v>32.37</v>
      </c>
      <c r="E3396" s="11"/>
      <c r="F3396" s="9"/>
    </row>
    <row r="3397" s="1" customFormat="1" customHeight="1" spans="1:6">
      <c r="A3397" s="9" t="str">
        <f>"10300111405"</f>
        <v>10300111405</v>
      </c>
      <c r="B3397" s="10">
        <v>43.43</v>
      </c>
      <c r="C3397" s="9"/>
      <c r="D3397" s="9">
        <f t="shared" si="53"/>
        <v>43.43</v>
      </c>
      <c r="E3397" s="11"/>
      <c r="F3397" s="9"/>
    </row>
    <row r="3398" s="1" customFormat="1" customHeight="1" spans="1:6">
      <c r="A3398" s="9" t="str">
        <f>"10360111406"</f>
        <v>10360111406</v>
      </c>
      <c r="B3398" s="10">
        <v>46.09</v>
      </c>
      <c r="C3398" s="9"/>
      <c r="D3398" s="9">
        <f t="shared" si="53"/>
        <v>46.09</v>
      </c>
      <c r="E3398" s="11"/>
      <c r="F3398" s="9"/>
    </row>
    <row r="3399" s="1" customFormat="1" customHeight="1" spans="1:6">
      <c r="A3399" s="9" t="str">
        <f>"10440111407"</f>
        <v>10440111407</v>
      </c>
      <c r="B3399" s="10">
        <v>37.41</v>
      </c>
      <c r="C3399" s="9"/>
      <c r="D3399" s="9">
        <f t="shared" si="53"/>
        <v>37.41</v>
      </c>
      <c r="E3399" s="11"/>
      <c r="F3399" s="9"/>
    </row>
    <row r="3400" s="1" customFormat="1" customHeight="1" spans="1:6">
      <c r="A3400" s="9" t="str">
        <f>"10530111408"</f>
        <v>10530111408</v>
      </c>
      <c r="B3400" s="10">
        <v>48.49</v>
      </c>
      <c r="C3400" s="9"/>
      <c r="D3400" s="9">
        <f t="shared" si="53"/>
        <v>48.49</v>
      </c>
      <c r="E3400" s="11"/>
      <c r="F3400" s="9"/>
    </row>
    <row r="3401" s="1" customFormat="1" customHeight="1" spans="1:6">
      <c r="A3401" s="9" t="str">
        <f>"10360111409"</f>
        <v>10360111409</v>
      </c>
      <c r="B3401" s="10">
        <v>32.35</v>
      </c>
      <c r="C3401" s="9"/>
      <c r="D3401" s="9">
        <f t="shared" si="53"/>
        <v>32.35</v>
      </c>
      <c r="E3401" s="11"/>
      <c r="F3401" s="9"/>
    </row>
    <row r="3402" s="1" customFormat="1" customHeight="1" spans="1:6">
      <c r="A3402" s="9" t="str">
        <f>"10020111410"</f>
        <v>10020111410</v>
      </c>
      <c r="B3402" s="10">
        <v>0</v>
      </c>
      <c r="C3402" s="9"/>
      <c r="D3402" s="9">
        <f t="shared" si="53"/>
        <v>0</v>
      </c>
      <c r="E3402" s="11"/>
      <c r="F3402" s="9" t="s">
        <v>7</v>
      </c>
    </row>
    <row r="3403" s="1" customFormat="1" customHeight="1" spans="1:6">
      <c r="A3403" s="9" t="str">
        <f>"10360111411"</f>
        <v>10360111411</v>
      </c>
      <c r="B3403" s="10">
        <v>0</v>
      </c>
      <c r="C3403" s="9"/>
      <c r="D3403" s="9">
        <f t="shared" si="53"/>
        <v>0</v>
      </c>
      <c r="E3403" s="11"/>
      <c r="F3403" s="9" t="s">
        <v>7</v>
      </c>
    </row>
    <row r="3404" s="1" customFormat="1" customHeight="1" spans="1:6">
      <c r="A3404" s="9" t="str">
        <f>"10300111412"</f>
        <v>10300111412</v>
      </c>
      <c r="B3404" s="10">
        <v>0</v>
      </c>
      <c r="C3404" s="9"/>
      <c r="D3404" s="9">
        <f t="shared" si="53"/>
        <v>0</v>
      </c>
      <c r="E3404" s="11"/>
      <c r="F3404" s="9" t="s">
        <v>7</v>
      </c>
    </row>
    <row r="3405" s="1" customFormat="1" customHeight="1" spans="1:6">
      <c r="A3405" s="9" t="str">
        <f>"10280111413"</f>
        <v>10280111413</v>
      </c>
      <c r="B3405" s="10">
        <v>36</v>
      </c>
      <c r="C3405" s="9"/>
      <c r="D3405" s="9">
        <f t="shared" si="53"/>
        <v>36</v>
      </c>
      <c r="E3405" s="11"/>
      <c r="F3405" s="9"/>
    </row>
    <row r="3406" s="1" customFormat="1" customHeight="1" spans="1:6">
      <c r="A3406" s="9" t="str">
        <f>"10010111414"</f>
        <v>10010111414</v>
      </c>
      <c r="B3406" s="10">
        <v>0</v>
      </c>
      <c r="C3406" s="9"/>
      <c r="D3406" s="9">
        <f t="shared" si="53"/>
        <v>0</v>
      </c>
      <c r="E3406" s="11"/>
      <c r="F3406" s="9" t="s">
        <v>7</v>
      </c>
    </row>
    <row r="3407" s="1" customFormat="1" customHeight="1" spans="1:6">
      <c r="A3407" s="9" t="str">
        <f>"10100111415"</f>
        <v>10100111415</v>
      </c>
      <c r="B3407" s="10">
        <v>42.14</v>
      </c>
      <c r="C3407" s="9"/>
      <c r="D3407" s="9">
        <f t="shared" si="53"/>
        <v>42.14</v>
      </c>
      <c r="E3407" s="11"/>
      <c r="F3407" s="9"/>
    </row>
    <row r="3408" s="1" customFormat="1" customHeight="1" spans="1:6">
      <c r="A3408" s="9" t="str">
        <f>"10070111416"</f>
        <v>10070111416</v>
      </c>
      <c r="B3408" s="10">
        <v>0</v>
      </c>
      <c r="C3408" s="9"/>
      <c r="D3408" s="9">
        <f t="shared" si="53"/>
        <v>0</v>
      </c>
      <c r="E3408" s="11"/>
      <c r="F3408" s="9" t="s">
        <v>7</v>
      </c>
    </row>
    <row r="3409" s="1" customFormat="1" customHeight="1" spans="1:6">
      <c r="A3409" s="9" t="str">
        <f>"10510111417"</f>
        <v>10510111417</v>
      </c>
      <c r="B3409" s="10">
        <v>0</v>
      </c>
      <c r="C3409" s="9"/>
      <c r="D3409" s="9">
        <f t="shared" si="53"/>
        <v>0</v>
      </c>
      <c r="E3409" s="11"/>
      <c r="F3409" s="9" t="s">
        <v>7</v>
      </c>
    </row>
    <row r="3410" s="1" customFormat="1" customHeight="1" spans="1:6">
      <c r="A3410" s="9" t="str">
        <f>"10450111418"</f>
        <v>10450111418</v>
      </c>
      <c r="B3410" s="10">
        <v>33.42</v>
      </c>
      <c r="C3410" s="9"/>
      <c r="D3410" s="9">
        <f t="shared" si="53"/>
        <v>33.42</v>
      </c>
      <c r="E3410" s="11"/>
      <c r="F3410" s="9"/>
    </row>
    <row r="3411" s="1" customFormat="1" customHeight="1" spans="1:6">
      <c r="A3411" s="9" t="str">
        <f>"10040111419"</f>
        <v>10040111419</v>
      </c>
      <c r="B3411" s="10">
        <v>35.7</v>
      </c>
      <c r="C3411" s="9"/>
      <c r="D3411" s="9">
        <f t="shared" si="53"/>
        <v>35.7</v>
      </c>
      <c r="E3411" s="11"/>
      <c r="F3411" s="9"/>
    </row>
    <row r="3412" s="1" customFormat="1" customHeight="1" spans="1:6">
      <c r="A3412" s="9" t="str">
        <f>"10290111420"</f>
        <v>10290111420</v>
      </c>
      <c r="B3412" s="10">
        <v>42.14</v>
      </c>
      <c r="C3412" s="9"/>
      <c r="D3412" s="9">
        <f t="shared" si="53"/>
        <v>42.14</v>
      </c>
      <c r="E3412" s="11"/>
      <c r="F3412" s="9"/>
    </row>
    <row r="3413" s="1" customFormat="1" customHeight="1" spans="1:6">
      <c r="A3413" s="9" t="str">
        <f>"10020111421"</f>
        <v>10020111421</v>
      </c>
      <c r="B3413" s="10">
        <v>40.32</v>
      </c>
      <c r="C3413" s="9"/>
      <c r="D3413" s="9">
        <f t="shared" si="53"/>
        <v>40.32</v>
      </c>
      <c r="E3413" s="11"/>
      <c r="F3413" s="9"/>
    </row>
    <row r="3414" s="1" customFormat="1" customHeight="1" spans="1:6">
      <c r="A3414" s="9" t="str">
        <f>"20270111422"</f>
        <v>20270111422</v>
      </c>
      <c r="B3414" s="10">
        <v>37.58</v>
      </c>
      <c r="C3414" s="9"/>
      <c r="D3414" s="9">
        <f t="shared" si="53"/>
        <v>37.58</v>
      </c>
      <c r="E3414" s="11"/>
      <c r="F3414" s="9"/>
    </row>
    <row r="3415" s="1" customFormat="1" customHeight="1" spans="1:6">
      <c r="A3415" s="9" t="str">
        <f>"10500111423"</f>
        <v>10500111423</v>
      </c>
      <c r="B3415" s="10">
        <v>29.52</v>
      </c>
      <c r="C3415" s="9"/>
      <c r="D3415" s="9">
        <f t="shared" si="53"/>
        <v>29.52</v>
      </c>
      <c r="E3415" s="11"/>
      <c r="F3415" s="9"/>
    </row>
    <row r="3416" s="1" customFormat="1" customHeight="1" spans="1:6">
      <c r="A3416" s="9" t="str">
        <f>"10510111424"</f>
        <v>10510111424</v>
      </c>
      <c r="B3416" s="10">
        <v>37.77</v>
      </c>
      <c r="C3416" s="9"/>
      <c r="D3416" s="9">
        <f t="shared" si="53"/>
        <v>37.77</v>
      </c>
      <c r="E3416" s="11"/>
      <c r="F3416" s="9"/>
    </row>
    <row r="3417" s="1" customFormat="1" customHeight="1" spans="1:6">
      <c r="A3417" s="9" t="str">
        <f>"10490111425"</f>
        <v>10490111425</v>
      </c>
      <c r="B3417" s="10">
        <v>39.01</v>
      </c>
      <c r="C3417" s="9"/>
      <c r="D3417" s="9">
        <f t="shared" si="53"/>
        <v>39.01</v>
      </c>
      <c r="E3417" s="11"/>
      <c r="F3417" s="9"/>
    </row>
    <row r="3418" s="1" customFormat="1" customHeight="1" spans="1:6">
      <c r="A3418" s="9" t="str">
        <f>"10360111426"</f>
        <v>10360111426</v>
      </c>
      <c r="B3418" s="10">
        <v>38.94</v>
      </c>
      <c r="C3418" s="9"/>
      <c r="D3418" s="9">
        <f t="shared" si="53"/>
        <v>38.94</v>
      </c>
      <c r="E3418" s="11"/>
      <c r="F3418" s="9"/>
    </row>
    <row r="3419" s="1" customFormat="1" customHeight="1" spans="1:6">
      <c r="A3419" s="9" t="str">
        <f>"10470111427"</f>
        <v>10470111427</v>
      </c>
      <c r="B3419" s="10">
        <v>50.38</v>
      </c>
      <c r="C3419" s="9"/>
      <c r="D3419" s="9">
        <f t="shared" si="53"/>
        <v>50.38</v>
      </c>
      <c r="E3419" s="11"/>
      <c r="F3419" s="9"/>
    </row>
    <row r="3420" s="1" customFormat="1" customHeight="1" spans="1:6">
      <c r="A3420" s="9" t="str">
        <f>"10390111428"</f>
        <v>10390111428</v>
      </c>
      <c r="B3420" s="10">
        <v>45.03</v>
      </c>
      <c r="C3420" s="9"/>
      <c r="D3420" s="9">
        <f t="shared" si="53"/>
        <v>45.03</v>
      </c>
      <c r="E3420" s="11"/>
      <c r="F3420" s="9"/>
    </row>
    <row r="3421" s="1" customFormat="1" customHeight="1" spans="1:6">
      <c r="A3421" s="9" t="str">
        <f>"10530111429"</f>
        <v>10530111429</v>
      </c>
      <c r="B3421" s="10">
        <v>49</v>
      </c>
      <c r="C3421" s="9"/>
      <c r="D3421" s="9">
        <f t="shared" si="53"/>
        <v>49</v>
      </c>
      <c r="E3421" s="11"/>
      <c r="F3421" s="9"/>
    </row>
    <row r="3422" s="1" customFormat="1" customHeight="1" spans="1:6">
      <c r="A3422" s="9" t="str">
        <f>"10530111430"</f>
        <v>10530111430</v>
      </c>
      <c r="B3422" s="10">
        <v>36.4</v>
      </c>
      <c r="C3422" s="9"/>
      <c r="D3422" s="9">
        <f t="shared" si="53"/>
        <v>36.4</v>
      </c>
      <c r="E3422" s="11"/>
      <c r="F3422" s="9"/>
    </row>
    <row r="3423" s="1" customFormat="1" customHeight="1" spans="1:6">
      <c r="A3423" s="9" t="str">
        <f>"10130111501"</f>
        <v>10130111501</v>
      </c>
      <c r="B3423" s="10">
        <v>46.49</v>
      </c>
      <c r="C3423" s="9"/>
      <c r="D3423" s="9">
        <f t="shared" si="53"/>
        <v>46.49</v>
      </c>
      <c r="E3423" s="11"/>
      <c r="F3423" s="9"/>
    </row>
    <row r="3424" s="1" customFormat="1" customHeight="1" spans="1:6">
      <c r="A3424" s="9" t="str">
        <f>"10330111502"</f>
        <v>10330111502</v>
      </c>
      <c r="B3424" s="10">
        <v>45.71</v>
      </c>
      <c r="C3424" s="9"/>
      <c r="D3424" s="9">
        <f t="shared" si="53"/>
        <v>45.71</v>
      </c>
      <c r="E3424" s="11"/>
      <c r="F3424" s="9"/>
    </row>
    <row r="3425" s="1" customFormat="1" customHeight="1" spans="1:6">
      <c r="A3425" s="9" t="str">
        <f>"10240111503"</f>
        <v>10240111503</v>
      </c>
      <c r="B3425" s="10">
        <v>42.29</v>
      </c>
      <c r="C3425" s="9"/>
      <c r="D3425" s="9">
        <f t="shared" si="53"/>
        <v>42.29</v>
      </c>
      <c r="E3425" s="11"/>
      <c r="F3425" s="9"/>
    </row>
    <row r="3426" s="1" customFormat="1" customHeight="1" spans="1:6">
      <c r="A3426" s="9" t="str">
        <f>"10270111504"</f>
        <v>10270111504</v>
      </c>
      <c r="B3426" s="10">
        <v>45.91</v>
      </c>
      <c r="C3426" s="9"/>
      <c r="D3426" s="9">
        <f t="shared" si="53"/>
        <v>45.91</v>
      </c>
      <c r="E3426" s="11"/>
      <c r="F3426" s="9"/>
    </row>
    <row r="3427" s="1" customFormat="1" customHeight="1" spans="1:6">
      <c r="A3427" s="9" t="str">
        <f>"10210111505"</f>
        <v>10210111505</v>
      </c>
      <c r="B3427" s="10">
        <v>44.95</v>
      </c>
      <c r="C3427" s="9"/>
      <c r="D3427" s="9">
        <f t="shared" si="53"/>
        <v>44.95</v>
      </c>
      <c r="E3427" s="11"/>
      <c r="F3427" s="9"/>
    </row>
    <row r="3428" s="1" customFormat="1" customHeight="1" spans="1:6">
      <c r="A3428" s="9" t="str">
        <f>"10120111506"</f>
        <v>10120111506</v>
      </c>
      <c r="B3428" s="10">
        <v>36.26</v>
      </c>
      <c r="C3428" s="9"/>
      <c r="D3428" s="9">
        <f t="shared" si="53"/>
        <v>36.26</v>
      </c>
      <c r="E3428" s="11"/>
      <c r="F3428" s="9"/>
    </row>
    <row r="3429" s="1" customFormat="1" customHeight="1" spans="1:6">
      <c r="A3429" s="9" t="str">
        <f>"10120111507"</f>
        <v>10120111507</v>
      </c>
      <c r="B3429" s="10">
        <v>0</v>
      </c>
      <c r="C3429" s="9"/>
      <c r="D3429" s="9">
        <f t="shared" si="53"/>
        <v>0</v>
      </c>
      <c r="E3429" s="11"/>
      <c r="F3429" s="9" t="s">
        <v>7</v>
      </c>
    </row>
    <row r="3430" s="1" customFormat="1" customHeight="1" spans="1:6">
      <c r="A3430" s="9" t="str">
        <f>"10370111508"</f>
        <v>10370111508</v>
      </c>
      <c r="B3430" s="10">
        <v>37.08</v>
      </c>
      <c r="C3430" s="9"/>
      <c r="D3430" s="9">
        <f t="shared" si="53"/>
        <v>37.08</v>
      </c>
      <c r="E3430" s="11"/>
      <c r="F3430" s="9"/>
    </row>
    <row r="3431" s="1" customFormat="1" customHeight="1" spans="1:6">
      <c r="A3431" s="9" t="str">
        <f>"10360111509"</f>
        <v>10360111509</v>
      </c>
      <c r="B3431" s="10">
        <v>42.19</v>
      </c>
      <c r="C3431" s="9"/>
      <c r="D3431" s="9">
        <f t="shared" si="53"/>
        <v>42.19</v>
      </c>
      <c r="E3431" s="11"/>
      <c r="F3431" s="9"/>
    </row>
    <row r="3432" s="1" customFormat="1" customHeight="1" spans="1:6">
      <c r="A3432" s="9" t="str">
        <f>"10180111510"</f>
        <v>10180111510</v>
      </c>
      <c r="B3432" s="10">
        <v>0</v>
      </c>
      <c r="C3432" s="9"/>
      <c r="D3432" s="9">
        <f t="shared" si="53"/>
        <v>0</v>
      </c>
      <c r="E3432" s="11"/>
      <c r="F3432" s="9" t="s">
        <v>7</v>
      </c>
    </row>
    <row r="3433" s="1" customFormat="1" customHeight="1" spans="1:6">
      <c r="A3433" s="9" t="str">
        <f>"10210111511"</f>
        <v>10210111511</v>
      </c>
      <c r="B3433" s="10">
        <v>36.55</v>
      </c>
      <c r="C3433" s="9"/>
      <c r="D3433" s="9">
        <f t="shared" si="53"/>
        <v>36.55</v>
      </c>
      <c r="E3433" s="11"/>
      <c r="F3433" s="9"/>
    </row>
    <row r="3434" s="1" customFormat="1" customHeight="1" spans="1:6">
      <c r="A3434" s="9" t="str">
        <f>"10130111512"</f>
        <v>10130111512</v>
      </c>
      <c r="B3434" s="10">
        <v>46.89</v>
      </c>
      <c r="C3434" s="9"/>
      <c r="D3434" s="9">
        <f t="shared" si="53"/>
        <v>46.89</v>
      </c>
      <c r="E3434" s="11"/>
      <c r="F3434" s="9"/>
    </row>
    <row r="3435" s="1" customFormat="1" customHeight="1" spans="1:6">
      <c r="A3435" s="9" t="str">
        <f>"10360111513"</f>
        <v>10360111513</v>
      </c>
      <c r="B3435" s="10">
        <v>28.78</v>
      </c>
      <c r="C3435" s="9"/>
      <c r="D3435" s="9">
        <f t="shared" si="53"/>
        <v>28.78</v>
      </c>
      <c r="E3435" s="11"/>
      <c r="F3435" s="9"/>
    </row>
    <row r="3436" s="1" customFormat="1" customHeight="1" spans="1:6">
      <c r="A3436" s="9" t="str">
        <f>"10440111514"</f>
        <v>10440111514</v>
      </c>
      <c r="B3436" s="10">
        <v>0</v>
      </c>
      <c r="C3436" s="9"/>
      <c r="D3436" s="9">
        <f t="shared" si="53"/>
        <v>0</v>
      </c>
      <c r="E3436" s="11"/>
      <c r="F3436" s="9" t="s">
        <v>7</v>
      </c>
    </row>
    <row r="3437" s="1" customFormat="1" customHeight="1" spans="1:6">
      <c r="A3437" s="9" t="str">
        <f>"10360111515"</f>
        <v>10360111515</v>
      </c>
      <c r="B3437" s="10">
        <v>26.59</v>
      </c>
      <c r="C3437" s="9"/>
      <c r="D3437" s="9">
        <f t="shared" si="53"/>
        <v>26.59</v>
      </c>
      <c r="E3437" s="11"/>
      <c r="F3437" s="9"/>
    </row>
    <row r="3438" s="1" customFormat="1" customHeight="1" spans="1:6">
      <c r="A3438" s="9" t="str">
        <f>"10150111516"</f>
        <v>10150111516</v>
      </c>
      <c r="B3438" s="10">
        <v>37.34</v>
      </c>
      <c r="C3438" s="9"/>
      <c r="D3438" s="9">
        <f t="shared" si="53"/>
        <v>37.34</v>
      </c>
      <c r="E3438" s="11"/>
      <c r="F3438" s="9"/>
    </row>
    <row r="3439" s="1" customFormat="1" customHeight="1" spans="1:6">
      <c r="A3439" s="9" t="str">
        <f>"10400111517"</f>
        <v>10400111517</v>
      </c>
      <c r="B3439" s="10">
        <v>0</v>
      </c>
      <c r="C3439" s="9"/>
      <c r="D3439" s="9">
        <f t="shared" si="53"/>
        <v>0</v>
      </c>
      <c r="E3439" s="11"/>
      <c r="F3439" s="9" t="s">
        <v>7</v>
      </c>
    </row>
    <row r="3440" s="1" customFormat="1" customHeight="1" spans="1:6">
      <c r="A3440" s="9" t="str">
        <f>"10360111518"</f>
        <v>10360111518</v>
      </c>
      <c r="B3440" s="10">
        <v>34.71</v>
      </c>
      <c r="C3440" s="9"/>
      <c r="D3440" s="9">
        <f t="shared" si="53"/>
        <v>34.71</v>
      </c>
      <c r="E3440" s="11"/>
      <c r="F3440" s="9"/>
    </row>
    <row r="3441" s="1" customFormat="1" customHeight="1" spans="1:6">
      <c r="A3441" s="9" t="str">
        <f>"10360111519"</f>
        <v>10360111519</v>
      </c>
      <c r="B3441" s="10">
        <v>42.16</v>
      </c>
      <c r="C3441" s="9"/>
      <c r="D3441" s="9">
        <f t="shared" si="53"/>
        <v>42.16</v>
      </c>
      <c r="E3441" s="11"/>
      <c r="F3441" s="9"/>
    </row>
    <row r="3442" s="1" customFormat="1" customHeight="1" spans="1:6">
      <c r="A3442" s="9" t="str">
        <f>"10330111520"</f>
        <v>10330111520</v>
      </c>
      <c r="B3442" s="10">
        <v>51.83</v>
      </c>
      <c r="C3442" s="9"/>
      <c r="D3442" s="9">
        <f t="shared" si="53"/>
        <v>51.83</v>
      </c>
      <c r="E3442" s="11"/>
      <c r="F3442" s="9"/>
    </row>
    <row r="3443" s="1" customFormat="1" customHeight="1" spans="1:6">
      <c r="A3443" s="9" t="str">
        <f>"10440111521"</f>
        <v>10440111521</v>
      </c>
      <c r="B3443" s="10">
        <v>35.3</v>
      </c>
      <c r="C3443" s="9"/>
      <c r="D3443" s="9">
        <f t="shared" si="53"/>
        <v>35.3</v>
      </c>
      <c r="E3443" s="11"/>
      <c r="F3443" s="9"/>
    </row>
    <row r="3444" s="1" customFormat="1" customHeight="1" spans="1:6">
      <c r="A3444" s="9" t="str">
        <f>"10330111522"</f>
        <v>10330111522</v>
      </c>
      <c r="B3444" s="10">
        <v>0</v>
      </c>
      <c r="C3444" s="9"/>
      <c r="D3444" s="9">
        <f t="shared" si="53"/>
        <v>0</v>
      </c>
      <c r="E3444" s="11"/>
      <c r="F3444" s="9" t="s">
        <v>7</v>
      </c>
    </row>
    <row r="3445" s="1" customFormat="1" customHeight="1" spans="1:6">
      <c r="A3445" s="9" t="str">
        <f>"10360111523"</f>
        <v>10360111523</v>
      </c>
      <c r="B3445" s="10">
        <v>42.51</v>
      </c>
      <c r="C3445" s="9"/>
      <c r="D3445" s="9">
        <f t="shared" si="53"/>
        <v>42.51</v>
      </c>
      <c r="E3445" s="11"/>
      <c r="F3445" s="9"/>
    </row>
    <row r="3446" s="1" customFormat="1" customHeight="1" spans="1:6">
      <c r="A3446" s="9" t="str">
        <f>"10320111524"</f>
        <v>10320111524</v>
      </c>
      <c r="B3446" s="10">
        <v>42.41</v>
      </c>
      <c r="C3446" s="9"/>
      <c r="D3446" s="9">
        <f t="shared" si="53"/>
        <v>42.41</v>
      </c>
      <c r="E3446" s="11"/>
      <c r="F3446" s="9"/>
    </row>
    <row r="3447" s="1" customFormat="1" customHeight="1" spans="1:6">
      <c r="A3447" s="9" t="str">
        <f>"10400111525"</f>
        <v>10400111525</v>
      </c>
      <c r="B3447" s="10">
        <v>43.84</v>
      </c>
      <c r="C3447" s="9"/>
      <c r="D3447" s="9">
        <f t="shared" si="53"/>
        <v>43.84</v>
      </c>
      <c r="E3447" s="11"/>
      <c r="F3447" s="9"/>
    </row>
    <row r="3448" s="1" customFormat="1" customHeight="1" spans="1:6">
      <c r="A3448" s="9" t="str">
        <f>"10360111526"</f>
        <v>10360111526</v>
      </c>
      <c r="B3448" s="10">
        <v>44.87</v>
      </c>
      <c r="C3448" s="9"/>
      <c r="D3448" s="9">
        <f t="shared" si="53"/>
        <v>44.87</v>
      </c>
      <c r="E3448" s="11"/>
      <c r="F3448" s="9"/>
    </row>
    <row r="3449" s="1" customFormat="1" customHeight="1" spans="1:6">
      <c r="A3449" s="9" t="str">
        <f>"10360111527"</f>
        <v>10360111527</v>
      </c>
      <c r="B3449" s="10">
        <v>33.03</v>
      </c>
      <c r="C3449" s="9"/>
      <c r="D3449" s="9">
        <f t="shared" si="53"/>
        <v>33.03</v>
      </c>
      <c r="E3449" s="11"/>
      <c r="F3449" s="9"/>
    </row>
    <row r="3450" s="1" customFormat="1" customHeight="1" spans="1:6">
      <c r="A3450" s="9" t="str">
        <f>"10500111528"</f>
        <v>10500111528</v>
      </c>
      <c r="B3450" s="10">
        <v>0</v>
      </c>
      <c r="C3450" s="9"/>
      <c r="D3450" s="9">
        <f t="shared" si="53"/>
        <v>0</v>
      </c>
      <c r="E3450" s="11"/>
      <c r="F3450" s="9" t="s">
        <v>7</v>
      </c>
    </row>
    <row r="3451" s="1" customFormat="1" customHeight="1" spans="1:6">
      <c r="A3451" s="9" t="str">
        <f>"10350111529"</f>
        <v>10350111529</v>
      </c>
      <c r="B3451" s="10">
        <v>40.58</v>
      </c>
      <c r="C3451" s="9"/>
      <c r="D3451" s="9">
        <f t="shared" si="53"/>
        <v>40.58</v>
      </c>
      <c r="E3451" s="11"/>
      <c r="F3451" s="9"/>
    </row>
    <row r="3452" s="1" customFormat="1" customHeight="1" spans="1:6">
      <c r="A3452" s="9" t="str">
        <f>"10320111530"</f>
        <v>10320111530</v>
      </c>
      <c r="B3452" s="10">
        <v>0</v>
      </c>
      <c r="C3452" s="9"/>
      <c r="D3452" s="9">
        <f t="shared" si="53"/>
        <v>0</v>
      </c>
      <c r="E3452" s="11"/>
      <c r="F3452" s="9" t="s">
        <v>7</v>
      </c>
    </row>
    <row r="3453" s="1" customFormat="1" customHeight="1" spans="1:6">
      <c r="A3453" s="9" t="str">
        <f>"10420111601"</f>
        <v>10420111601</v>
      </c>
      <c r="B3453" s="10">
        <v>38.4</v>
      </c>
      <c r="C3453" s="9"/>
      <c r="D3453" s="9">
        <f t="shared" si="53"/>
        <v>38.4</v>
      </c>
      <c r="E3453" s="11"/>
      <c r="F3453" s="9"/>
    </row>
    <row r="3454" s="1" customFormat="1" customHeight="1" spans="1:6">
      <c r="A3454" s="9" t="str">
        <f>"10010111602"</f>
        <v>10010111602</v>
      </c>
      <c r="B3454" s="10">
        <v>0</v>
      </c>
      <c r="C3454" s="9"/>
      <c r="D3454" s="9">
        <f t="shared" si="53"/>
        <v>0</v>
      </c>
      <c r="E3454" s="11"/>
      <c r="F3454" s="9" t="s">
        <v>7</v>
      </c>
    </row>
    <row r="3455" s="1" customFormat="1" customHeight="1" spans="1:6">
      <c r="A3455" s="9" t="str">
        <f>"10210111603"</f>
        <v>10210111603</v>
      </c>
      <c r="B3455" s="10">
        <v>43.3</v>
      </c>
      <c r="C3455" s="9"/>
      <c r="D3455" s="9">
        <f t="shared" si="53"/>
        <v>43.3</v>
      </c>
      <c r="E3455" s="11"/>
      <c r="F3455" s="9"/>
    </row>
    <row r="3456" s="1" customFormat="1" customHeight="1" spans="1:6">
      <c r="A3456" s="9" t="str">
        <f>"10380111604"</f>
        <v>10380111604</v>
      </c>
      <c r="B3456" s="10">
        <v>39.53</v>
      </c>
      <c r="C3456" s="9"/>
      <c r="D3456" s="9">
        <f t="shared" si="53"/>
        <v>39.53</v>
      </c>
      <c r="E3456" s="11"/>
      <c r="F3456" s="9"/>
    </row>
    <row r="3457" s="1" customFormat="1" customHeight="1" spans="1:6">
      <c r="A3457" s="9" t="str">
        <f>"10360111605"</f>
        <v>10360111605</v>
      </c>
      <c r="B3457" s="10">
        <v>45.91</v>
      </c>
      <c r="C3457" s="9"/>
      <c r="D3457" s="9">
        <f t="shared" si="53"/>
        <v>45.91</v>
      </c>
      <c r="E3457" s="11"/>
      <c r="F3457" s="9"/>
    </row>
    <row r="3458" s="1" customFormat="1" customHeight="1" spans="1:6">
      <c r="A3458" s="9" t="str">
        <f>"10500111606"</f>
        <v>10500111606</v>
      </c>
      <c r="B3458" s="10">
        <v>34.29</v>
      </c>
      <c r="C3458" s="9"/>
      <c r="D3458" s="9">
        <f t="shared" si="53"/>
        <v>34.29</v>
      </c>
      <c r="E3458" s="11"/>
      <c r="F3458" s="9"/>
    </row>
    <row r="3459" s="1" customFormat="1" customHeight="1" spans="1:6">
      <c r="A3459" s="9" t="str">
        <f>"10470111607"</f>
        <v>10470111607</v>
      </c>
      <c r="B3459" s="10">
        <v>41.49</v>
      </c>
      <c r="C3459" s="9"/>
      <c r="D3459" s="9">
        <f t="shared" ref="D3459:D3522" si="54">SUM(B3459:C3459)</f>
        <v>41.49</v>
      </c>
      <c r="E3459" s="11"/>
      <c r="F3459" s="9"/>
    </row>
    <row r="3460" s="1" customFormat="1" customHeight="1" spans="1:6">
      <c r="A3460" s="9" t="str">
        <f>"10210111608"</f>
        <v>10210111608</v>
      </c>
      <c r="B3460" s="10">
        <v>30.85</v>
      </c>
      <c r="C3460" s="9">
        <v>10</v>
      </c>
      <c r="D3460" s="9">
        <f t="shared" si="54"/>
        <v>40.85</v>
      </c>
      <c r="E3460" s="12" t="s">
        <v>8</v>
      </c>
      <c r="F3460" s="9"/>
    </row>
    <row r="3461" s="1" customFormat="1" customHeight="1" spans="1:6">
      <c r="A3461" s="9" t="str">
        <f>"10330111609"</f>
        <v>10330111609</v>
      </c>
      <c r="B3461" s="10">
        <v>42.47</v>
      </c>
      <c r="C3461" s="9"/>
      <c r="D3461" s="9">
        <f t="shared" si="54"/>
        <v>42.47</v>
      </c>
      <c r="E3461" s="11"/>
      <c r="F3461" s="9"/>
    </row>
    <row r="3462" s="1" customFormat="1" customHeight="1" spans="1:6">
      <c r="A3462" s="9" t="str">
        <f>"10270111610"</f>
        <v>10270111610</v>
      </c>
      <c r="B3462" s="10">
        <v>0</v>
      </c>
      <c r="C3462" s="9"/>
      <c r="D3462" s="9">
        <f t="shared" si="54"/>
        <v>0</v>
      </c>
      <c r="E3462" s="11"/>
      <c r="F3462" s="9" t="s">
        <v>7</v>
      </c>
    </row>
    <row r="3463" s="1" customFormat="1" customHeight="1" spans="1:6">
      <c r="A3463" s="9" t="str">
        <f>"10110111611"</f>
        <v>10110111611</v>
      </c>
      <c r="B3463" s="10">
        <v>0</v>
      </c>
      <c r="C3463" s="9"/>
      <c r="D3463" s="9">
        <f t="shared" si="54"/>
        <v>0</v>
      </c>
      <c r="E3463" s="11"/>
      <c r="F3463" s="9" t="s">
        <v>7</v>
      </c>
    </row>
    <row r="3464" s="1" customFormat="1" customHeight="1" spans="1:6">
      <c r="A3464" s="9" t="str">
        <f>"10360111612"</f>
        <v>10360111612</v>
      </c>
      <c r="B3464" s="10">
        <v>45.35</v>
      </c>
      <c r="C3464" s="9"/>
      <c r="D3464" s="9">
        <f t="shared" si="54"/>
        <v>45.35</v>
      </c>
      <c r="E3464" s="11"/>
      <c r="F3464" s="9"/>
    </row>
    <row r="3465" s="1" customFormat="1" customHeight="1" spans="1:6">
      <c r="A3465" s="9" t="str">
        <f>"10330111613"</f>
        <v>10330111613</v>
      </c>
      <c r="B3465" s="10">
        <v>0</v>
      </c>
      <c r="C3465" s="9"/>
      <c r="D3465" s="9">
        <f t="shared" si="54"/>
        <v>0</v>
      </c>
      <c r="E3465" s="11"/>
      <c r="F3465" s="9" t="s">
        <v>7</v>
      </c>
    </row>
    <row r="3466" s="1" customFormat="1" customHeight="1" spans="1:6">
      <c r="A3466" s="9" t="str">
        <f>"10360111614"</f>
        <v>10360111614</v>
      </c>
      <c r="B3466" s="10">
        <v>0</v>
      </c>
      <c r="C3466" s="9"/>
      <c r="D3466" s="9">
        <f t="shared" si="54"/>
        <v>0</v>
      </c>
      <c r="E3466" s="11"/>
      <c r="F3466" s="9" t="s">
        <v>7</v>
      </c>
    </row>
    <row r="3467" s="1" customFormat="1" customHeight="1" spans="1:6">
      <c r="A3467" s="9" t="str">
        <f>"10360111615"</f>
        <v>10360111615</v>
      </c>
      <c r="B3467" s="10">
        <v>32.98</v>
      </c>
      <c r="C3467" s="9"/>
      <c r="D3467" s="9">
        <f t="shared" si="54"/>
        <v>32.98</v>
      </c>
      <c r="E3467" s="11"/>
      <c r="F3467" s="9"/>
    </row>
    <row r="3468" s="1" customFormat="1" customHeight="1" spans="1:6">
      <c r="A3468" s="9" t="str">
        <f>"10280111616"</f>
        <v>10280111616</v>
      </c>
      <c r="B3468" s="10">
        <v>41.99</v>
      </c>
      <c r="C3468" s="9"/>
      <c r="D3468" s="9">
        <f t="shared" si="54"/>
        <v>41.99</v>
      </c>
      <c r="E3468" s="11"/>
      <c r="F3468" s="9"/>
    </row>
    <row r="3469" s="1" customFormat="1" customHeight="1" spans="1:6">
      <c r="A3469" s="9" t="str">
        <f>"10360111617"</f>
        <v>10360111617</v>
      </c>
      <c r="B3469" s="10">
        <v>37.15</v>
      </c>
      <c r="C3469" s="9"/>
      <c r="D3469" s="9">
        <f t="shared" si="54"/>
        <v>37.15</v>
      </c>
      <c r="E3469" s="11"/>
      <c r="F3469" s="9"/>
    </row>
    <row r="3470" s="1" customFormat="1" customHeight="1" spans="1:6">
      <c r="A3470" s="9" t="str">
        <f>"10360111618"</f>
        <v>10360111618</v>
      </c>
      <c r="B3470" s="10">
        <v>0</v>
      </c>
      <c r="C3470" s="9"/>
      <c r="D3470" s="9">
        <f t="shared" si="54"/>
        <v>0</v>
      </c>
      <c r="E3470" s="11"/>
      <c r="F3470" s="9" t="s">
        <v>7</v>
      </c>
    </row>
    <row r="3471" s="1" customFormat="1" customHeight="1" spans="1:6">
      <c r="A3471" s="9" t="str">
        <f>"10520111619"</f>
        <v>10520111619</v>
      </c>
      <c r="B3471" s="10">
        <v>39.73</v>
      </c>
      <c r="C3471" s="9"/>
      <c r="D3471" s="9">
        <f t="shared" si="54"/>
        <v>39.73</v>
      </c>
      <c r="E3471" s="11"/>
      <c r="F3471" s="9"/>
    </row>
    <row r="3472" s="1" customFormat="1" customHeight="1" spans="1:6">
      <c r="A3472" s="9" t="str">
        <f>"10130111620"</f>
        <v>10130111620</v>
      </c>
      <c r="B3472" s="10">
        <v>0</v>
      </c>
      <c r="C3472" s="9">
        <v>10</v>
      </c>
      <c r="D3472" s="9">
        <f t="shared" si="54"/>
        <v>10</v>
      </c>
      <c r="E3472" s="12" t="s">
        <v>8</v>
      </c>
      <c r="F3472" s="9" t="s">
        <v>7</v>
      </c>
    </row>
    <row r="3473" s="1" customFormat="1" customHeight="1" spans="1:6">
      <c r="A3473" s="9" t="str">
        <f>"10280111621"</f>
        <v>10280111621</v>
      </c>
      <c r="B3473" s="10">
        <v>42.26</v>
      </c>
      <c r="C3473" s="9"/>
      <c r="D3473" s="9">
        <f t="shared" si="54"/>
        <v>42.26</v>
      </c>
      <c r="E3473" s="11"/>
      <c r="F3473" s="9"/>
    </row>
    <row r="3474" s="1" customFormat="1" customHeight="1" spans="1:6">
      <c r="A3474" s="9" t="str">
        <f>"10510111622"</f>
        <v>10510111622</v>
      </c>
      <c r="B3474" s="10">
        <v>0</v>
      </c>
      <c r="C3474" s="9"/>
      <c r="D3474" s="9">
        <f t="shared" si="54"/>
        <v>0</v>
      </c>
      <c r="E3474" s="11"/>
      <c r="F3474" s="9" t="s">
        <v>7</v>
      </c>
    </row>
    <row r="3475" s="1" customFormat="1" customHeight="1" spans="1:6">
      <c r="A3475" s="9" t="str">
        <f>"10100111623"</f>
        <v>10100111623</v>
      </c>
      <c r="B3475" s="10">
        <v>48.75</v>
      </c>
      <c r="C3475" s="9"/>
      <c r="D3475" s="9">
        <f t="shared" si="54"/>
        <v>48.75</v>
      </c>
      <c r="E3475" s="11"/>
      <c r="F3475" s="9"/>
    </row>
    <row r="3476" s="1" customFormat="1" customHeight="1" spans="1:6">
      <c r="A3476" s="9" t="str">
        <f>"10510111624"</f>
        <v>10510111624</v>
      </c>
      <c r="B3476" s="10">
        <v>51.82</v>
      </c>
      <c r="C3476" s="9"/>
      <c r="D3476" s="9">
        <f t="shared" si="54"/>
        <v>51.82</v>
      </c>
      <c r="E3476" s="11"/>
      <c r="F3476" s="9"/>
    </row>
    <row r="3477" s="1" customFormat="1" customHeight="1" spans="1:6">
      <c r="A3477" s="9" t="str">
        <f>"10060111625"</f>
        <v>10060111625</v>
      </c>
      <c r="B3477" s="10">
        <v>37.89</v>
      </c>
      <c r="C3477" s="9"/>
      <c r="D3477" s="9">
        <f t="shared" si="54"/>
        <v>37.89</v>
      </c>
      <c r="E3477" s="11"/>
      <c r="F3477" s="9"/>
    </row>
    <row r="3478" s="1" customFormat="1" customHeight="1" spans="1:6">
      <c r="A3478" s="9" t="str">
        <f>"10330111626"</f>
        <v>10330111626</v>
      </c>
      <c r="B3478" s="10">
        <v>0</v>
      </c>
      <c r="C3478" s="9"/>
      <c r="D3478" s="9">
        <f t="shared" si="54"/>
        <v>0</v>
      </c>
      <c r="E3478" s="11"/>
      <c r="F3478" s="9" t="s">
        <v>7</v>
      </c>
    </row>
    <row r="3479" s="1" customFormat="1" customHeight="1" spans="1:6">
      <c r="A3479" s="9" t="str">
        <f>"10360111627"</f>
        <v>10360111627</v>
      </c>
      <c r="B3479" s="10">
        <v>38.31</v>
      </c>
      <c r="C3479" s="9"/>
      <c r="D3479" s="9">
        <f t="shared" si="54"/>
        <v>38.31</v>
      </c>
      <c r="E3479" s="11"/>
      <c r="F3479" s="9"/>
    </row>
    <row r="3480" s="1" customFormat="1" customHeight="1" spans="1:6">
      <c r="A3480" s="9" t="str">
        <f>"10330111628"</f>
        <v>10330111628</v>
      </c>
      <c r="B3480" s="10">
        <v>44.88</v>
      </c>
      <c r="C3480" s="9"/>
      <c r="D3480" s="9">
        <f t="shared" si="54"/>
        <v>44.88</v>
      </c>
      <c r="E3480" s="11"/>
      <c r="F3480" s="9"/>
    </row>
    <row r="3481" s="1" customFormat="1" customHeight="1" spans="1:6">
      <c r="A3481" s="9" t="str">
        <f>"10360111629"</f>
        <v>10360111629</v>
      </c>
      <c r="B3481" s="10">
        <v>47.05</v>
      </c>
      <c r="C3481" s="9"/>
      <c r="D3481" s="9">
        <f t="shared" si="54"/>
        <v>47.05</v>
      </c>
      <c r="E3481" s="11"/>
      <c r="F3481" s="9"/>
    </row>
    <row r="3482" s="1" customFormat="1" customHeight="1" spans="1:6">
      <c r="A3482" s="9" t="str">
        <f>"10530111630"</f>
        <v>10530111630</v>
      </c>
      <c r="B3482" s="10">
        <v>0</v>
      </c>
      <c r="C3482" s="9"/>
      <c r="D3482" s="9">
        <f t="shared" si="54"/>
        <v>0</v>
      </c>
      <c r="E3482" s="11"/>
      <c r="F3482" s="9" t="s">
        <v>7</v>
      </c>
    </row>
    <row r="3483" s="1" customFormat="1" customHeight="1" spans="1:6">
      <c r="A3483" s="9" t="str">
        <f>"10330111701"</f>
        <v>10330111701</v>
      </c>
      <c r="B3483" s="10">
        <v>0</v>
      </c>
      <c r="C3483" s="9"/>
      <c r="D3483" s="9">
        <f t="shared" si="54"/>
        <v>0</v>
      </c>
      <c r="E3483" s="11"/>
      <c r="F3483" s="9" t="s">
        <v>7</v>
      </c>
    </row>
    <row r="3484" s="1" customFormat="1" customHeight="1" spans="1:6">
      <c r="A3484" s="9" t="str">
        <f>"10090111702"</f>
        <v>10090111702</v>
      </c>
      <c r="B3484" s="10">
        <v>48.24</v>
      </c>
      <c r="C3484" s="9"/>
      <c r="D3484" s="9">
        <f t="shared" si="54"/>
        <v>48.24</v>
      </c>
      <c r="E3484" s="11"/>
      <c r="F3484" s="9"/>
    </row>
    <row r="3485" s="1" customFormat="1" customHeight="1" spans="1:6">
      <c r="A3485" s="9" t="str">
        <f>"20270111703"</f>
        <v>20270111703</v>
      </c>
      <c r="B3485" s="10">
        <v>0</v>
      </c>
      <c r="C3485" s="9"/>
      <c r="D3485" s="9">
        <f t="shared" si="54"/>
        <v>0</v>
      </c>
      <c r="E3485" s="11"/>
      <c r="F3485" s="9" t="s">
        <v>7</v>
      </c>
    </row>
    <row r="3486" s="1" customFormat="1" customHeight="1" spans="1:6">
      <c r="A3486" s="9" t="str">
        <f>"10260111704"</f>
        <v>10260111704</v>
      </c>
      <c r="B3486" s="10">
        <v>43.7</v>
      </c>
      <c r="C3486" s="9"/>
      <c r="D3486" s="9">
        <f t="shared" si="54"/>
        <v>43.7</v>
      </c>
      <c r="E3486" s="11"/>
      <c r="F3486" s="9"/>
    </row>
    <row r="3487" s="1" customFormat="1" customHeight="1" spans="1:6">
      <c r="A3487" s="9" t="str">
        <f>"10300111705"</f>
        <v>10300111705</v>
      </c>
      <c r="B3487" s="10">
        <v>0</v>
      </c>
      <c r="C3487" s="9"/>
      <c r="D3487" s="9">
        <f t="shared" si="54"/>
        <v>0</v>
      </c>
      <c r="E3487" s="11"/>
      <c r="F3487" s="9" t="s">
        <v>7</v>
      </c>
    </row>
    <row r="3488" s="1" customFormat="1" customHeight="1" spans="1:6">
      <c r="A3488" s="9" t="str">
        <f>"10010111706"</f>
        <v>10010111706</v>
      </c>
      <c r="B3488" s="10">
        <v>41.26</v>
      </c>
      <c r="C3488" s="9"/>
      <c r="D3488" s="9">
        <f t="shared" si="54"/>
        <v>41.26</v>
      </c>
      <c r="E3488" s="11"/>
      <c r="F3488" s="9"/>
    </row>
    <row r="3489" s="1" customFormat="1" customHeight="1" spans="1:6">
      <c r="A3489" s="9" t="str">
        <f>"10420111707"</f>
        <v>10420111707</v>
      </c>
      <c r="B3489" s="10">
        <v>43.5</v>
      </c>
      <c r="C3489" s="9"/>
      <c r="D3489" s="9">
        <f t="shared" si="54"/>
        <v>43.5</v>
      </c>
      <c r="E3489" s="11"/>
      <c r="F3489" s="9"/>
    </row>
    <row r="3490" s="1" customFormat="1" customHeight="1" spans="1:6">
      <c r="A3490" s="9" t="str">
        <f>"10360111708"</f>
        <v>10360111708</v>
      </c>
      <c r="B3490" s="10">
        <v>36.94</v>
      </c>
      <c r="C3490" s="9"/>
      <c r="D3490" s="9">
        <f t="shared" si="54"/>
        <v>36.94</v>
      </c>
      <c r="E3490" s="11"/>
      <c r="F3490" s="9"/>
    </row>
    <row r="3491" s="1" customFormat="1" customHeight="1" spans="1:6">
      <c r="A3491" s="9" t="str">
        <f>"10360111709"</f>
        <v>10360111709</v>
      </c>
      <c r="B3491" s="10">
        <v>44.66</v>
      </c>
      <c r="C3491" s="9"/>
      <c r="D3491" s="9">
        <f t="shared" si="54"/>
        <v>44.66</v>
      </c>
      <c r="E3491" s="11"/>
      <c r="F3491" s="9"/>
    </row>
    <row r="3492" s="1" customFormat="1" customHeight="1" spans="1:6">
      <c r="A3492" s="9" t="str">
        <f>"10170111710"</f>
        <v>10170111710</v>
      </c>
      <c r="B3492" s="10">
        <v>44.42</v>
      </c>
      <c r="C3492" s="9"/>
      <c r="D3492" s="9">
        <f t="shared" si="54"/>
        <v>44.42</v>
      </c>
      <c r="E3492" s="11"/>
      <c r="F3492" s="9"/>
    </row>
    <row r="3493" s="1" customFormat="1" customHeight="1" spans="1:6">
      <c r="A3493" s="9" t="str">
        <f>"10200111711"</f>
        <v>10200111711</v>
      </c>
      <c r="B3493" s="10">
        <v>40.54</v>
      </c>
      <c r="C3493" s="9"/>
      <c r="D3493" s="9">
        <f t="shared" si="54"/>
        <v>40.54</v>
      </c>
      <c r="E3493" s="11"/>
      <c r="F3493" s="9"/>
    </row>
    <row r="3494" s="1" customFormat="1" customHeight="1" spans="1:6">
      <c r="A3494" s="9" t="str">
        <f>"10450111712"</f>
        <v>10450111712</v>
      </c>
      <c r="B3494" s="10">
        <v>43.44</v>
      </c>
      <c r="C3494" s="9"/>
      <c r="D3494" s="9">
        <f t="shared" si="54"/>
        <v>43.44</v>
      </c>
      <c r="E3494" s="11"/>
      <c r="F3494" s="9"/>
    </row>
    <row r="3495" s="1" customFormat="1" customHeight="1" spans="1:6">
      <c r="A3495" s="9" t="str">
        <f>"10100111713"</f>
        <v>10100111713</v>
      </c>
      <c r="B3495" s="10">
        <v>57.58</v>
      </c>
      <c r="C3495" s="9"/>
      <c r="D3495" s="9">
        <f t="shared" si="54"/>
        <v>57.58</v>
      </c>
      <c r="E3495" s="11"/>
      <c r="F3495" s="9"/>
    </row>
    <row r="3496" s="1" customFormat="1" customHeight="1" spans="1:6">
      <c r="A3496" s="9" t="str">
        <f>"10360111714"</f>
        <v>10360111714</v>
      </c>
      <c r="B3496" s="10">
        <v>38.99</v>
      </c>
      <c r="C3496" s="9"/>
      <c r="D3496" s="9">
        <f t="shared" si="54"/>
        <v>38.99</v>
      </c>
      <c r="E3496" s="11"/>
      <c r="F3496" s="9"/>
    </row>
    <row r="3497" s="1" customFormat="1" customHeight="1" spans="1:6">
      <c r="A3497" s="9" t="str">
        <f>"10020111715"</f>
        <v>10020111715</v>
      </c>
      <c r="B3497" s="10">
        <v>37.15</v>
      </c>
      <c r="C3497" s="9"/>
      <c r="D3497" s="9">
        <f t="shared" si="54"/>
        <v>37.15</v>
      </c>
      <c r="E3497" s="11"/>
      <c r="F3497" s="9"/>
    </row>
    <row r="3498" s="1" customFormat="1" customHeight="1" spans="1:6">
      <c r="A3498" s="9" t="str">
        <f>"10100111716"</f>
        <v>10100111716</v>
      </c>
      <c r="B3498" s="10">
        <v>42.49</v>
      </c>
      <c r="C3498" s="9"/>
      <c r="D3498" s="9">
        <f t="shared" si="54"/>
        <v>42.49</v>
      </c>
      <c r="E3498" s="11"/>
      <c r="F3498" s="9"/>
    </row>
    <row r="3499" s="1" customFormat="1" customHeight="1" spans="1:6">
      <c r="A3499" s="9" t="str">
        <f>"10380111717"</f>
        <v>10380111717</v>
      </c>
      <c r="B3499" s="10">
        <v>37.38</v>
      </c>
      <c r="C3499" s="9"/>
      <c r="D3499" s="9">
        <f t="shared" si="54"/>
        <v>37.38</v>
      </c>
      <c r="E3499" s="11"/>
      <c r="F3499" s="9"/>
    </row>
    <row r="3500" s="1" customFormat="1" customHeight="1" spans="1:6">
      <c r="A3500" s="9" t="str">
        <f>"10360111718"</f>
        <v>10360111718</v>
      </c>
      <c r="B3500" s="10">
        <v>36.82</v>
      </c>
      <c r="C3500" s="9"/>
      <c r="D3500" s="9">
        <f t="shared" si="54"/>
        <v>36.82</v>
      </c>
      <c r="E3500" s="11"/>
      <c r="F3500" s="9"/>
    </row>
    <row r="3501" s="1" customFormat="1" customHeight="1" spans="1:6">
      <c r="A3501" s="9" t="str">
        <f>"10020111719"</f>
        <v>10020111719</v>
      </c>
      <c r="B3501" s="10">
        <v>35.7</v>
      </c>
      <c r="C3501" s="9"/>
      <c r="D3501" s="9">
        <f t="shared" si="54"/>
        <v>35.7</v>
      </c>
      <c r="E3501" s="11"/>
      <c r="F3501" s="9"/>
    </row>
    <row r="3502" s="1" customFormat="1" customHeight="1" spans="1:6">
      <c r="A3502" s="9" t="str">
        <f>"10440111720"</f>
        <v>10440111720</v>
      </c>
      <c r="B3502" s="10">
        <v>38.27</v>
      </c>
      <c r="C3502" s="9"/>
      <c r="D3502" s="9">
        <f t="shared" si="54"/>
        <v>38.27</v>
      </c>
      <c r="E3502" s="11"/>
      <c r="F3502" s="9"/>
    </row>
    <row r="3503" s="1" customFormat="1" customHeight="1" spans="1:6">
      <c r="A3503" s="9" t="str">
        <f>"10300111721"</f>
        <v>10300111721</v>
      </c>
      <c r="B3503" s="10">
        <v>59.29</v>
      </c>
      <c r="C3503" s="9"/>
      <c r="D3503" s="9">
        <f t="shared" si="54"/>
        <v>59.29</v>
      </c>
      <c r="E3503" s="11"/>
      <c r="F3503" s="9"/>
    </row>
    <row r="3504" s="1" customFormat="1" customHeight="1" spans="1:6">
      <c r="A3504" s="9" t="str">
        <f>"20270111722"</f>
        <v>20270111722</v>
      </c>
      <c r="B3504" s="10">
        <v>0</v>
      </c>
      <c r="C3504" s="9"/>
      <c r="D3504" s="9">
        <f t="shared" si="54"/>
        <v>0</v>
      </c>
      <c r="E3504" s="11"/>
      <c r="F3504" s="9" t="s">
        <v>7</v>
      </c>
    </row>
    <row r="3505" s="1" customFormat="1" customHeight="1" spans="1:6">
      <c r="A3505" s="9" t="str">
        <f>"10140111723"</f>
        <v>10140111723</v>
      </c>
      <c r="B3505" s="10">
        <v>46.92</v>
      </c>
      <c r="C3505" s="9"/>
      <c r="D3505" s="9">
        <f t="shared" si="54"/>
        <v>46.92</v>
      </c>
      <c r="E3505" s="11"/>
      <c r="F3505" s="9"/>
    </row>
    <row r="3506" s="1" customFormat="1" customHeight="1" spans="1:6">
      <c r="A3506" s="9" t="str">
        <f>"10280111724"</f>
        <v>10280111724</v>
      </c>
      <c r="B3506" s="10">
        <v>45.26</v>
      </c>
      <c r="C3506" s="9"/>
      <c r="D3506" s="9">
        <f t="shared" si="54"/>
        <v>45.26</v>
      </c>
      <c r="E3506" s="11"/>
      <c r="F3506" s="9"/>
    </row>
    <row r="3507" s="1" customFormat="1" customHeight="1" spans="1:6">
      <c r="A3507" s="9" t="str">
        <f>"10140111725"</f>
        <v>10140111725</v>
      </c>
      <c r="B3507" s="10">
        <v>41.05</v>
      </c>
      <c r="C3507" s="9"/>
      <c r="D3507" s="9">
        <f t="shared" si="54"/>
        <v>41.05</v>
      </c>
      <c r="E3507" s="11"/>
      <c r="F3507" s="9"/>
    </row>
    <row r="3508" s="1" customFormat="1" customHeight="1" spans="1:6">
      <c r="A3508" s="9" t="str">
        <f>"10360111726"</f>
        <v>10360111726</v>
      </c>
      <c r="B3508" s="10">
        <v>29.05</v>
      </c>
      <c r="C3508" s="9"/>
      <c r="D3508" s="9">
        <f t="shared" si="54"/>
        <v>29.05</v>
      </c>
      <c r="E3508" s="11"/>
      <c r="F3508" s="9"/>
    </row>
    <row r="3509" s="1" customFormat="1" customHeight="1" spans="1:6">
      <c r="A3509" s="9" t="str">
        <f>"10080111727"</f>
        <v>10080111727</v>
      </c>
      <c r="B3509" s="10">
        <v>0</v>
      </c>
      <c r="C3509" s="9"/>
      <c r="D3509" s="9">
        <f t="shared" si="54"/>
        <v>0</v>
      </c>
      <c r="E3509" s="11"/>
      <c r="F3509" s="9" t="s">
        <v>7</v>
      </c>
    </row>
    <row r="3510" s="1" customFormat="1" customHeight="1" spans="1:6">
      <c r="A3510" s="9" t="str">
        <f>"10360111728"</f>
        <v>10360111728</v>
      </c>
      <c r="B3510" s="10">
        <v>37.18</v>
      </c>
      <c r="C3510" s="9"/>
      <c r="D3510" s="9">
        <f t="shared" si="54"/>
        <v>37.18</v>
      </c>
      <c r="E3510" s="11"/>
      <c r="F3510" s="9"/>
    </row>
    <row r="3511" s="1" customFormat="1" customHeight="1" spans="1:6">
      <c r="A3511" s="9" t="str">
        <f>"10140111729"</f>
        <v>10140111729</v>
      </c>
      <c r="B3511" s="10">
        <v>49.16</v>
      </c>
      <c r="C3511" s="9"/>
      <c r="D3511" s="9">
        <f t="shared" si="54"/>
        <v>49.16</v>
      </c>
      <c r="E3511" s="11"/>
      <c r="F3511" s="9"/>
    </row>
    <row r="3512" s="1" customFormat="1" customHeight="1" spans="1:6">
      <c r="A3512" s="9" t="str">
        <f>"10110111730"</f>
        <v>10110111730</v>
      </c>
      <c r="B3512" s="10">
        <v>27.65</v>
      </c>
      <c r="C3512" s="9"/>
      <c r="D3512" s="9">
        <f t="shared" si="54"/>
        <v>27.65</v>
      </c>
      <c r="E3512" s="11"/>
      <c r="F3512" s="9"/>
    </row>
    <row r="3513" s="1" customFormat="1" customHeight="1" spans="1:6">
      <c r="A3513" s="9" t="str">
        <f>"10360111801"</f>
        <v>10360111801</v>
      </c>
      <c r="B3513" s="10">
        <v>0</v>
      </c>
      <c r="C3513" s="9"/>
      <c r="D3513" s="9">
        <f t="shared" si="54"/>
        <v>0</v>
      </c>
      <c r="E3513" s="11"/>
      <c r="F3513" s="9" t="s">
        <v>7</v>
      </c>
    </row>
    <row r="3514" s="1" customFormat="1" customHeight="1" spans="1:6">
      <c r="A3514" s="9" t="str">
        <f>"10010111802"</f>
        <v>10010111802</v>
      </c>
      <c r="B3514" s="10">
        <v>40.72</v>
      </c>
      <c r="C3514" s="9"/>
      <c r="D3514" s="9">
        <f t="shared" si="54"/>
        <v>40.72</v>
      </c>
      <c r="E3514" s="11"/>
      <c r="F3514" s="9"/>
    </row>
    <row r="3515" s="1" customFormat="1" customHeight="1" spans="1:6">
      <c r="A3515" s="9" t="str">
        <f>"10230111803"</f>
        <v>10230111803</v>
      </c>
      <c r="B3515" s="10">
        <v>0</v>
      </c>
      <c r="C3515" s="9"/>
      <c r="D3515" s="9">
        <f t="shared" si="54"/>
        <v>0</v>
      </c>
      <c r="E3515" s="11"/>
      <c r="F3515" s="9" t="s">
        <v>7</v>
      </c>
    </row>
    <row r="3516" s="1" customFormat="1" customHeight="1" spans="1:6">
      <c r="A3516" s="9" t="str">
        <f>"10530111804"</f>
        <v>10530111804</v>
      </c>
      <c r="B3516" s="10">
        <v>35.06</v>
      </c>
      <c r="C3516" s="9">
        <v>10</v>
      </c>
      <c r="D3516" s="9">
        <f t="shared" si="54"/>
        <v>45.06</v>
      </c>
      <c r="E3516" s="12" t="s">
        <v>8</v>
      </c>
      <c r="F3516" s="9"/>
    </row>
    <row r="3517" s="1" customFormat="1" customHeight="1" spans="1:6">
      <c r="A3517" s="9" t="str">
        <f>"10330111805"</f>
        <v>10330111805</v>
      </c>
      <c r="B3517" s="10">
        <v>35.58</v>
      </c>
      <c r="C3517" s="9"/>
      <c r="D3517" s="9">
        <f t="shared" si="54"/>
        <v>35.58</v>
      </c>
      <c r="E3517" s="11"/>
      <c r="F3517" s="9"/>
    </row>
    <row r="3518" s="1" customFormat="1" customHeight="1" spans="1:6">
      <c r="A3518" s="9" t="str">
        <f>"10360111806"</f>
        <v>10360111806</v>
      </c>
      <c r="B3518" s="10">
        <v>35.94</v>
      </c>
      <c r="C3518" s="9"/>
      <c r="D3518" s="9">
        <f t="shared" si="54"/>
        <v>35.94</v>
      </c>
      <c r="E3518" s="11"/>
      <c r="F3518" s="9"/>
    </row>
    <row r="3519" s="1" customFormat="1" customHeight="1" spans="1:6">
      <c r="A3519" s="9" t="str">
        <f>"10360111807"</f>
        <v>10360111807</v>
      </c>
      <c r="B3519" s="10">
        <v>41.33</v>
      </c>
      <c r="C3519" s="9"/>
      <c r="D3519" s="9">
        <f t="shared" si="54"/>
        <v>41.33</v>
      </c>
      <c r="E3519" s="11"/>
      <c r="F3519" s="9"/>
    </row>
    <row r="3520" s="1" customFormat="1" customHeight="1" spans="1:6">
      <c r="A3520" s="9" t="str">
        <f>"10070111808"</f>
        <v>10070111808</v>
      </c>
      <c r="B3520" s="10">
        <v>29.4</v>
      </c>
      <c r="C3520" s="9"/>
      <c r="D3520" s="9">
        <f t="shared" si="54"/>
        <v>29.4</v>
      </c>
      <c r="E3520" s="11"/>
      <c r="F3520" s="9"/>
    </row>
    <row r="3521" s="1" customFormat="1" customHeight="1" spans="1:6">
      <c r="A3521" s="9" t="str">
        <f>"10110111809"</f>
        <v>10110111809</v>
      </c>
      <c r="B3521" s="10">
        <v>48.72</v>
      </c>
      <c r="C3521" s="9"/>
      <c r="D3521" s="9">
        <f t="shared" si="54"/>
        <v>48.72</v>
      </c>
      <c r="E3521" s="11"/>
      <c r="F3521" s="9"/>
    </row>
    <row r="3522" s="1" customFormat="1" customHeight="1" spans="1:6">
      <c r="A3522" s="9" t="str">
        <f>"10110111810"</f>
        <v>10110111810</v>
      </c>
      <c r="B3522" s="10">
        <v>38.52</v>
      </c>
      <c r="C3522" s="9"/>
      <c r="D3522" s="9">
        <f t="shared" si="54"/>
        <v>38.52</v>
      </c>
      <c r="E3522" s="11"/>
      <c r="F3522" s="9"/>
    </row>
    <row r="3523" s="1" customFormat="1" customHeight="1" spans="1:6">
      <c r="A3523" s="9" t="str">
        <f>"10360111811"</f>
        <v>10360111811</v>
      </c>
      <c r="B3523" s="10">
        <v>44.31</v>
      </c>
      <c r="C3523" s="9"/>
      <c r="D3523" s="9">
        <f t="shared" ref="D3523:D3586" si="55">SUM(B3523:C3523)</f>
        <v>44.31</v>
      </c>
      <c r="E3523" s="11"/>
      <c r="F3523" s="9"/>
    </row>
    <row r="3524" s="1" customFormat="1" customHeight="1" spans="1:6">
      <c r="A3524" s="9" t="str">
        <f>"10360111812"</f>
        <v>10360111812</v>
      </c>
      <c r="B3524" s="10">
        <v>38.88</v>
      </c>
      <c r="C3524" s="9"/>
      <c r="D3524" s="9">
        <f t="shared" si="55"/>
        <v>38.88</v>
      </c>
      <c r="E3524" s="11"/>
      <c r="F3524" s="9"/>
    </row>
    <row r="3525" s="1" customFormat="1" customHeight="1" spans="1:6">
      <c r="A3525" s="9" t="str">
        <f>"10310111813"</f>
        <v>10310111813</v>
      </c>
      <c r="B3525" s="10">
        <v>50.99</v>
      </c>
      <c r="C3525" s="9"/>
      <c r="D3525" s="9">
        <f t="shared" si="55"/>
        <v>50.99</v>
      </c>
      <c r="E3525" s="11"/>
      <c r="F3525" s="9"/>
    </row>
    <row r="3526" s="1" customFormat="1" customHeight="1" spans="1:6">
      <c r="A3526" s="9" t="str">
        <f>"10230111814"</f>
        <v>10230111814</v>
      </c>
      <c r="B3526" s="10">
        <v>40.63</v>
      </c>
      <c r="C3526" s="9"/>
      <c r="D3526" s="9">
        <f t="shared" si="55"/>
        <v>40.63</v>
      </c>
      <c r="E3526" s="11"/>
      <c r="F3526" s="9"/>
    </row>
    <row r="3527" s="1" customFormat="1" customHeight="1" spans="1:6">
      <c r="A3527" s="9" t="str">
        <f>"10300111815"</f>
        <v>10300111815</v>
      </c>
      <c r="B3527" s="10">
        <v>41.52</v>
      </c>
      <c r="C3527" s="9"/>
      <c r="D3527" s="9">
        <f t="shared" si="55"/>
        <v>41.52</v>
      </c>
      <c r="E3527" s="11"/>
      <c r="F3527" s="9"/>
    </row>
    <row r="3528" s="1" customFormat="1" customHeight="1" spans="1:6">
      <c r="A3528" s="9" t="str">
        <f>"10440111816"</f>
        <v>10440111816</v>
      </c>
      <c r="B3528" s="10">
        <v>44.57</v>
      </c>
      <c r="C3528" s="9"/>
      <c r="D3528" s="9">
        <f t="shared" si="55"/>
        <v>44.57</v>
      </c>
      <c r="E3528" s="11"/>
      <c r="F3528" s="9"/>
    </row>
    <row r="3529" s="1" customFormat="1" customHeight="1" spans="1:6">
      <c r="A3529" s="9" t="str">
        <f>"10280111817"</f>
        <v>10280111817</v>
      </c>
      <c r="B3529" s="10">
        <v>39.93</v>
      </c>
      <c r="C3529" s="9"/>
      <c r="D3529" s="9">
        <f t="shared" si="55"/>
        <v>39.93</v>
      </c>
      <c r="E3529" s="11"/>
      <c r="F3529" s="9"/>
    </row>
    <row r="3530" s="1" customFormat="1" customHeight="1" spans="1:6">
      <c r="A3530" s="9" t="str">
        <f>"10460111818"</f>
        <v>10460111818</v>
      </c>
      <c r="B3530" s="10">
        <v>41.92</v>
      </c>
      <c r="C3530" s="9"/>
      <c r="D3530" s="9">
        <f t="shared" si="55"/>
        <v>41.92</v>
      </c>
      <c r="E3530" s="11"/>
      <c r="F3530" s="9"/>
    </row>
    <row r="3531" s="1" customFormat="1" customHeight="1" spans="1:6">
      <c r="A3531" s="9" t="str">
        <f>"10130111819"</f>
        <v>10130111819</v>
      </c>
      <c r="B3531" s="10">
        <v>0</v>
      </c>
      <c r="C3531" s="9"/>
      <c r="D3531" s="9">
        <f t="shared" si="55"/>
        <v>0</v>
      </c>
      <c r="E3531" s="11"/>
      <c r="F3531" s="9" t="s">
        <v>7</v>
      </c>
    </row>
    <row r="3532" s="1" customFormat="1" customHeight="1" spans="1:6">
      <c r="A3532" s="9" t="str">
        <f>"10440111820"</f>
        <v>10440111820</v>
      </c>
      <c r="B3532" s="10">
        <v>35.03</v>
      </c>
      <c r="C3532" s="9"/>
      <c r="D3532" s="9">
        <f t="shared" si="55"/>
        <v>35.03</v>
      </c>
      <c r="E3532" s="11"/>
      <c r="F3532" s="9"/>
    </row>
    <row r="3533" s="1" customFormat="1" customHeight="1" spans="1:6">
      <c r="A3533" s="9" t="str">
        <f>"10530111821"</f>
        <v>10530111821</v>
      </c>
      <c r="B3533" s="10">
        <v>46.22</v>
      </c>
      <c r="C3533" s="9"/>
      <c r="D3533" s="9">
        <f t="shared" si="55"/>
        <v>46.22</v>
      </c>
      <c r="E3533" s="11"/>
      <c r="F3533" s="9"/>
    </row>
    <row r="3534" s="1" customFormat="1" customHeight="1" spans="1:6">
      <c r="A3534" s="9" t="str">
        <f>"10080111822"</f>
        <v>10080111822</v>
      </c>
      <c r="B3534" s="10">
        <v>42.49</v>
      </c>
      <c r="C3534" s="9"/>
      <c r="D3534" s="9">
        <f t="shared" si="55"/>
        <v>42.49</v>
      </c>
      <c r="E3534" s="11"/>
      <c r="F3534" s="9"/>
    </row>
    <row r="3535" s="1" customFormat="1" customHeight="1" spans="1:6">
      <c r="A3535" s="9" t="str">
        <f>"10340111823"</f>
        <v>10340111823</v>
      </c>
      <c r="B3535" s="10">
        <v>39.05</v>
      </c>
      <c r="C3535" s="9"/>
      <c r="D3535" s="9">
        <f t="shared" si="55"/>
        <v>39.05</v>
      </c>
      <c r="E3535" s="11"/>
      <c r="F3535" s="9"/>
    </row>
    <row r="3536" s="1" customFormat="1" customHeight="1" spans="1:6">
      <c r="A3536" s="9" t="str">
        <f>"10440111824"</f>
        <v>10440111824</v>
      </c>
      <c r="B3536" s="10">
        <v>0</v>
      </c>
      <c r="C3536" s="9"/>
      <c r="D3536" s="9">
        <f t="shared" si="55"/>
        <v>0</v>
      </c>
      <c r="E3536" s="11"/>
      <c r="F3536" s="9" t="s">
        <v>7</v>
      </c>
    </row>
    <row r="3537" s="1" customFormat="1" customHeight="1" spans="1:6">
      <c r="A3537" s="9" t="str">
        <f>"10530111825"</f>
        <v>10530111825</v>
      </c>
      <c r="B3537" s="10">
        <v>34.73</v>
      </c>
      <c r="C3537" s="9"/>
      <c r="D3537" s="9">
        <f t="shared" si="55"/>
        <v>34.73</v>
      </c>
      <c r="E3537" s="11"/>
      <c r="F3537" s="9"/>
    </row>
    <row r="3538" s="1" customFormat="1" customHeight="1" spans="1:6">
      <c r="A3538" s="9" t="str">
        <f>"10360111826"</f>
        <v>10360111826</v>
      </c>
      <c r="B3538" s="10">
        <v>0</v>
      </c>
      <c r="C3538" s="9"/>
      <c r="D3538" s="9">
        <f t="shared" si="55"/>
        <v>0</v>
      </c>
      <c r="E3538" s="11"/>
      <c r="F3538" s="9" t="s">
        <v>7</v>
      </c>
    </row>
    <row r="3539" s="1" customFormat="1" customHeight="1" spans="1:6">
      <c r="A3539" s="9" t="str">
        <f>"10100111827"</f>
        <v>10100111827</v>
      </c>
      <c r="B3539" s="10">
        <v>0</v>
      </c>
      <c r="C3539" s="9"/>
      <c r="D3539" s="9">
        <f t="shared" si="55"/>
        <v>0</v>
      </c>
      <c r="E3539" s="11"/>
      <c r="F3539" s="9" t="s">
        <v>7</v>
      </c>
    </row>
    <row r="3540" s="1" customFormat="1" customHeight="1" spans="1:6">
      <c r="A3540" s="9" t="str">
        <f>"10360111828"</f>
        <v>10360111828</v>
      </c>
      <c r="B3540" s="10">
        <v>41.97</v>
      </c>
      <c r="C3540" s="9"/>
      <c r="D3540" s="9">
        <f t="shared" si="55"/>
        <v>41.97</v>
      </c>
      <c r="E3540" s="11"/>
      <c r="F3540" s="9"/>
    </row>
    <row r="3541" s="1" customFormat="1" customHeight="1" spans="1:6">
      <c r="A3541" s="9" t="str">
        <f>"10330111829"</f>
        <v>10330111829</v>
      </c>
      <c r="B3541" s="10">
        <v>0</v>
      </c>
      <c r="C3541" s="9"/>
      <c r="D3541" s="9">
        <f t="shared" si="55"/>
        <v>0</v>
      </c>
      <c r="E3541" s="11"/>
      <c r="F3541" s="9" t="s">
        <v>7</v>
      </c>
    </row>
    <row r="3542" s="1" customFormat="1" customHeight="1" spans="1:6">
      <c r="A3542" s="9" t="str">
        <f>"10270111830"</f>
        <v>10270111830</v>
      </c>
      <c r="B3542" s="10">
        <v>39.84</v>
      </c>
      <c r="C3542" s="9"/>
      <c r="D3542" s="9">
        <f t="shared" si="55"/>
        <v>39.84</v>
      </c>
      <c r="E3542" s="11"/>
      <c r="F3542" s="9"/>
    </row>
    <row r="3543" s="1" customFormat="1" customHeight="1" spans="1:6">
      <c r="A3543" s="9" t="str">
        <f>"10350111901"</f>
        <v>10350111901</v>
      </c>
      <c r="B3543" s="10">
        <v>45.15</v>
      </c>
      <c r="C3543" s="9"/>
      <c r="D3543" s="9">
        <f t="shared" si="55"/>
        <v>45.15</v>
      </c>
      <c r="E3543" s="11"/>
      <c r="F3543" s="9"/>
    </row>
    <row r="3544" s="1" customFormat="1" customHeight="1" spans="1:6">
      <c r="A3544" s="9" t="str">
        <f>"10060111902"</f>
        <v>10060111902</v>
      </c>
      <c r="B3544" s="10">
        <v>42.03</v>
      </c>
      <c r="C3544" s="9"/>
      <c r="D3544" s="9">
        <f t="shared" si="55"/>
        <v>42.03</v>
      </c>
      <c r="E3544" s="11"/>
      <c r="F3544" s="9"/>
    </row>
    <row r="3545" s="1" customFormat="1" customHeight="1" spans="1:6">
      <c r="A3545" s="9" t="str">
        <f>"10360111903"</f>
        <v>10360111903</v>
      </c>
      <c r="B3545" s="10">
        <v>47.78</v>
      </c>
      <c r="C3545" s="9"/>
      <c r="D3545" s="9">
        <f t="shared" si="55"/>
        <v>47.78</v>
      </c>
      <c r="E3545" s="11"/>
      <c r="F3545" s="9"/>
    </row>
    <row r="3546" s="1" customFormat="1" customHeight="1" spans="1:6">
      <c r="A3546" s="9" t="str">
        <f>"10320111904"</f>
        <v>10320111904</v>
      </c>
      <c r="B3546" s="10">
        <v>0</v>
      </c>
      <c r="C3546" s="9"/>
      <c r="D3546" s="9">
        <f t="shared" si="55"/>
        <v>0</v>
      </c>
      <c r="E3546" s="11"/>
      <c r="F3546" s="9" t="s">
        <v>7</v>
      </c>
    </row>
    <row r="3547" s="1" customFormat="1" customHeight="1" spans="1:6">
      <c r="A3547" s="9" t="str">
        <f>"10290111905"</f>
        <v>10290111905</v>
      </c>
      <c r="B3547" s="10">
        <v>42.7</v>
      </c>
      <c r="C3547" s="9"/>
      <c r="D3547" s="9">
        <f t="shared" si="55"/>
        <v>42.7</v>
      </c>
      <c r="E3547" s="11"/>
      <c r="F3547" s="9"/>
    </row>
    <row r="3548" s="1" customFormat="1" customHeight="1" spans="1:6">
      <c r="A3548" s="9" t="str">
        <f>"10330111906"</f>
        <v>10330111906</v>
      </c>
      <c r="B3548" s="10">
        <v>0</v>
      </c>
      <c r="C3548" s="9"/>
      <c r="D3548" s="9">
        <f t="shared" si="55"/>
        <v>0</v>
      </c>
      <c r="E3548" s="11"/>
      <c r="F3548" s="9" t="s">
        <v>7</v>
      </c>
    </row>
    <row r="3549" s="1" customFormat="1" customHeight="1" spans="1:6">
      <c r="A3549" s="9" t="str">
        <f>"10040111907"</f>
        <v>10040111907</v>
      </c>
      <c r="B3549" s="10">
        <v>47.11</v>
      </c>
      <c r="C3549" s="9"/>
      <c r="D3549" s="9">
        <f t="shared" si="55"/>
        <v>47.11</v>
      </c>
      <c r="E3549" s="11"/>
      <c r="F3549" s="9"/>
    </row>
    <row r="3550" s="1" customFormat="1" customHeight="1" spans="1:6">
      <c r="A3550" s="9" t="str">
        <f>"10080111908"</f>
        <v>10080111908</v>
      </c>
      <c r="B3550" s="10">
        <v>0</v>
      </c>
      <c r="C3550" s="9"/>
      <c r="D3550" s="9">
        <f t="shared" si="55"/>
        <v>0</v>
      </c>
      <c r="E3550" s="11"/>
      <c r="F3550" s="9" t="s">
        <v>7</v>
      </c>
    </row>
    <row r="3551" s="1" customFormat="1" customHeight="1" spans="1:6">
      <c r="A3551" s="9" t="str">
        <f>"10460111909"</f>
        <v>10460111909</v>
      </c>
      <c r="B3551" s="10">
        <v>39.31</v>
      </c>
      <c r="C3551" s="9"/>
      <c r="D3551" s="9">
        <f t="shared" si="55"/>
        <v>39.31</v>
      </c>
      <c r="E3551" s="11"/>
      <c r="F3551" s="9"/>
    </row>
    <row r="3552" s="1" customFormat="1" customHeight="1" spans="1:6">
      <c r="A3552" s="9" t="str">
        <f>"10530111910"</f>
        <v>10530111910</v>
      </c>
      <c r="B3552" s="10">
        <v>47.82</v>
      </c>
      <c r="C3552" s="9"/>
      <c r="D3552" s="9">
        <f t="shared" si="55"/>
        <v>47.82</v>
      </c>
      <c r="E3552" s="11"/>
      <c r="F3552" s="9"/>
    </row>
    <row r="3553" s="1" customFormat="1" customHeight="1" spans="1:6">
      <c r="A3553" s="9" t="str">
        <f>"10020111911"</f>
        <v>10020111911</v>
      </c>
      <c r="B3553" s="10">
        <v>41.44</v>
      </c>
      <c r="C3553" s="9"/>
      <c r="D3553" s="9">
        <f t="shared" si="55"/>
        <v>41.44</v>
      </c>
      <c r="E3553" s="11"/>
      <c r="F3553" s="9"/>
    </row>
    <row r="3554" s="1" customFormat="1" customHeight="1" spans="1:6">
      <c r="A3554" s="9" t="str">
        <f>"10380111912"</f>
        <v>10380111912</v>
      </c>
      <c r="B3554" s="10">
        <v>34.33</v>
      </c>
      <c r="C3554" s="9"/>
      <c r="D3554" s="9">
        <f t="shared" si="55"/>
        <v>34.33</v>
      </c>
      <c r="E3554" s="11"/>
      <c r="F3554" s="9"/>
    </row>
    <row r="3555" s="1" customFormat="1" customHeight="1" spans="1:6">
      <c r="A3555" s="9" t="str">
        <f>"10510111913"</f>
        <v>10510111913</v>
      </c>
      <c r="B3555" s="10">
        <v>0</v>
      </c>
      <c r="C3555" s="9"/>
      <c r="D3555" s="9">
        <f t="shared" si="55"/>
        <v>0</v>
      </c>
      <c r="E3555" s="11"/>
      <c r="F3555" s="9" t="s">
        <v>7</v>
      </c>
    </row>
    <row r="3556" s="1" customFormat="1" customHeight="1" spans="1:6">
      <c r="A3556" s="9" t="str">
        <f>"10520111914"</f>
        <v>10520111914</v>
      </c>
      <c r="B3556" s="10">
        <v>40.49</v>
      </c>
      <c r="C3556" s="9"/>
      <c r="D3556" s="9">
        <f t="shared" si="55"/>
        <v>40.49</v>
      </c>
      <c r="E3556" s="11"/>
      <c r="F3556" s="9"/>
    </row>
    <row r="3557" s="1" customFormat="1" customHeight="1" spans="1:6">
      <c r="A3557" s="9" t="str">
        <f>"10010111915"</f>
        <v>10010111915</v>
      </c>
      <c r="B3557" s="10">
        <v>32.73</v>
      </c>
      <c r="C3557" s="9"/>
      <c r="D3557" s="9">
        <f t="shared" si="55"/>
        <v>32.73</v>
      </c>
      <c r="E3557" s="11"/>
      <c r="F3557" s="9"/>
    </row>
    <row r="3558" s="1" customFormat="1" customHeight="1" spans="1:6">
      <c r="A3558" s="9" t="str">
        <f>"10500111916"</f>
        <v>10500111916</v>
      </c>
      <c r="B3558" s="10">
        <v>0</v>
      </c>
      <c r="C3558" s="9"/>
      <c r="D3558" s="9">
        <f t="shared" si="55"/>
        <v>0</v>
      </c>
      <c r="E3558" s="11"/>
      <c r="F3558" s="9" t="s">
        <v>7</v>
      </c>
    </row>
    <row r="3559" s="1" customFormat="1" customHeight="1" spans="1:6">
      <c r="A3559" s="9" t="str">
        <f>"10160111917"</f>
        <v>10160111917</v>
      </c>
      <c r="B3559" s="10">
        <v>0</v>
      </c>
      <c r="C3559" s="9"/>
      <c r="D3559" s="9">
        <f t="shared" si="55"/>
        <v>0</v>
      </c>
      <c r="E3559" s="11"/>
      <c r="F3559" s="9" t="s">
        <v>7</v>
      </c>
    </row>
    <row r="3560" s="1" customFormat="1" customHeight="1" spans="1:6">
      <c r="A3560" s="9" t="str">
        <f>"10110111918"</f>
        <v>10110111918</v>
      </c>
      <c r="B3560" s="10">
        <v>35.46</v>
      </c>
      <c r="C3560" s="9"/>
      <c r="D3560" s="9">
        <f t="shared" si="55"/>
        <v>35.46</v>
      </c>
      <c r="E3560" s="11"/>
      <c r="F3560" s="9"/>
    </row>
    <row r="3561" s="1" customFormat="1" customHeight="1" spans="1:6">
      <c r="A3561" s="9" t="str">
        <f>"10080111919"</f>
        <v>10080111919</v>
      </c>
      <c r="B3561" s="10">
        <v>0</v>
      </c>
      <c r="C3561" s="9"/>
      <c r="D3561" s="9">
        <f t="shared" si="55"/>
        <v>0</v>
      </c>
      <c r="E3561" s="11"/>
      <c r="F3561" s="9" t="s">
        <v>7</v>
      </c>
    </row>
    <row r="3562" s="1" customFormat="1" customHeight="1" spans="1:6">
      <c r="A3562" s="9" t="str">
        <f>"10330111920"</f>
        <v>10330111920</v>
      </c>
      <c r="B3562" s="10">
        <v>0</v>
      </c>
      <c r="C3562" s="9"/>
      <c r="D3562" s="9">
        <f t="shared" si="55"/>
        <v>0</v>
      </c>
      <c r="E3562" s="11"/>
      <c r="F3562" s="9" t="s">
        <v>7</v>
      </c>
    </row>
    <row r="3563" s="1" customFormat="1" customHeight="1" spans="1:6">
      <c r="A3563" s="9" t="str">
        <f>"10360111921"</f>
        <v>10360111921</v>
      </c>
      <c r="B3563" s="10">
        <v>44.94</v>
      </c>
      <c r="C3563" s="9"/>
      <c r="D3563" s="9">
        <f t="shared" si="55"/>
        <v>44.94</v>
      </c>
      <c r="E3563" s="11"/>
      <c r="F3563" s="9"/>
    </row>
    <row r="3564" s="1" customFormat="1" customHeight="1" spans="1:6">
      <c r="A3564" s="9" t="str">
        <f>"10110111922"</f>
        <v>10110111922</v>
      </c>
      <c r="B3564" s="10">
        <v>0</v>
      </c>
      <c r="C3564" s="9"/>
      <c r="D3564" s="9">
        <f t="shared" si="55"/>
        <v>0</v>
      </c>
      <c r="E3564" s="11"/>
      <c r="F3564" s="9" t="s">
        <v>7</v>
      </c>
    </row>
    <row r="3565" s="1" customFormat="1" customHeight="1" spans="1:6">
      <c r="A3565" s="9" t="str">
        <f>"10360111923"</f>
        <v>10360111923</v>
      </c>
      <c r="B3565" s="10">
        <v>35.01</v>
      </c>
      <c r="C3565" s="9"/>
      <c r="D3565" s="9">
        <f t="shared" si="55"/>
        <v>35.01</v>
      </c>
      <c r="E3565" s="11"/>
      <c r="F3565" s="9"/>
    </row>
    <row r="3566" s="1" customFormat="1" customHeight="1" spans="1:6">
      <c r="A3566" s="9" t="str">
        <f>"10060111924"</f>
        <v>10060111924</v>
      </c>
      <c r="B3566" s="10">
        <v>35.61</v>
      </c>
      <c r="C3566" s="9"/>
      <c r="D3566" s="9">
        <f t="shared" si="55"/>
        <v>35.61</v>
      </c>
      <c r="E3566" s="11"/>
      <c r="F3566" s="9"/>
    </row>
    <row r="3567" s="1" customFormat="1" customHeight="1" spans="1:6">
      <c r="A3567" s="9" t="str">
        <f>"10330111925"</f>
        <v>10330111925</v>
      </c>
      <c r="B3567" s="10">
        <v>33.76</v>
      </c>
      <c r="C3567" s="9"/>
      <c r="D3567" s="9">
        <f t="shared" si="55"/>
        <v>33.76</v>
      </c>
      <c r="E3567" s="11"/>
      <c r="F3567" s="9"/>
    </row>
    <row r="3568" s="1" customFormat="1" customHeight="1" spans="1:6">
      <c r="A3568" s="9" t="str">
        <f>"10110111926"</f>
        <v>10110111926</v>
      </c>
      <c r="B3568" s="10">
        <v>0</v>
      </c>
      <c r="C3568" s="9"/>
      <c r="D3568" s="9">
        <f t="shared" si="55"/>
        <v>0</v>
      </c>
      <c r="E3568" s="11"/>
      <c r="F3568" s="9" t="s">
        <v>7</v>
      </c>
    </row>
    <row r="3569" s="1" customFormat="1" customHeight="1" spans="1:6">
      <c r="A3569" s="9" t="str">
        <f>"10170111927"</f>
        <v>10170111927</v>
      </c>
      <c r="B3569" s="10">
        <v>0</v>
      </c>
      <c r="C3569" s="9"/>
      <c r="D3569" s="9">
        <f t="shared" si="55"/>
        <v>0</v>
      </c>
      <c r="E3569" s="11"/>
      <c r="F3569" s="9" t="s">
        <v>7</v>
      </c>
    </row>
    <row r="3570" s="1" customFormat="1" customHeight="1" spans="1:6">
      <c r="A3570" s="9" t="str">
        <f>"10150111928"</f>
        <v>10150111928</v>
      </c>
      <c r="B3570" s="10">
        <v>41.07</v>
      </c>
      <c r="C3570" s="9"/>
      <c r="D3570" s="9">
        <f t="shared" si="55"/>
        <v>41.07</v>
      </c>
      <c r="E3570" s="11"/>
      <c r="F3570" s="9"/>
    </row>
    <row r="3571" s="1" customFormat="1" customHeight="1" spans="1:6">
      <c r="A3571" s="9" t="str">
        <f>"10360111929"</f>
        <v>10360111929</v>
      </c>
      <c r="B3571" s="10">
        <v>35.58</v>
      </c>
      <c r="C3571" s="9"/>
      <c r="D3571" s="9">
        <f t="shared" si="55"/>
        <v>35.58</v>
      </c>
      <c r="E3571" s="11"/>
      <c r="F3571" s="9"/>
    </row>
    <row r="3572" s="1" customFormat="1" customHeight="1" spans="1:6">
      <c r="A3572" s="9" t="str">
        <f>"10120111930"</f>
        <v>10120111930</v>
      </c>
      <c r="B3572" s="10">
        <v>32.57</v>
      </c>
      <c r="C3572" s="9"/>
      <c r="D3572" s="9">
        <f t="shared" si="55"/>
        <v>32.57</v>
      </c>
      <c r="E3572" s="11"/>
      <c r="F3572" s="9"/>
    </row>
    <row r="3573" s="1" customFormat="1" customHeight="1" spans="1:6">
      <c r="A3573" s="9" t="str">
        <f>"10170112001"</f>
        <v>10170112001</v>
      </c>
      <c r="B3573" s="10">
        <v>42.54</v>
      </c>
      <c r="C3573" s="9"/>
      <c r="D3573" s="9">
        <f t="shared" si="55"/>
        <v>42.54</v>
      </c>
      <c r="E3573" s="11"/>
      <c r="F3573" s="9"/>
    </row>
    <row r="3574" s="1" customFormat="1" customHeight="1" spans="1:6">
      <c r="A3574" s="9" t="str">
        <f>"10530112002"</f>
        <v>10530112002</v>
      </c>
      <c r="B3574" s="10">
        <v>28.41</v>
      </c>
      <c r="C3574" s="9"/>
      <c r="D3574" s="9">
        <f t="shared" si="55"/>
        <v>28.41</v>
      </c>
      <c r="E3574" s="11"/>
      <c r="F3574" s="9"/>
    </row>
    <row r="3575" s="1" customFormat="1" customHeight="1" spans="1:6">
      <c r="A3575" s="9" t="str">
        <f>"10510112003"</f>
        <v>10510112003</v>
      </c>
      <c r="B3575" s="10">
        <v>41.95</v>
      </c>
      <c r="C3575" s="9">
        <v>10</v>
      </c>
      <c r="D3575" s="9">
        <f t="shared" si="55"/>
        <v>51.95</v>
      </c>
      <c r="E3575" s="12" t="s">
        <v>8</v>
      </c>
      <c r="F3575" s="9"/>
    </row>
    <row r="3576" s="1" customFormat="1" customHeight="1" spans="1:6">
      <c r="A3576" s="9" t="str">
        <f>"10500112004"</f>
        <v>10500112004</v>
      </c>
      <c r="B3576" s="10">
        <v>36.84</v>
      </c>
      <c r="C3576" s="9"/>
      <c r="D3576" s="9">
        <f t="shared" si="55"/>
        <v>36.84</v>
      </c>
      <c r="E3576" s="11"/>
      <c r="F3576" s="9"/>
    </row>
    <row r="3577" s="1" customFormat="1" customHeight="1" spans="1:6">
      <c r="A3577" s="9" t="str">
        <f>"10530112005"</f>
        <v>10530112005</v>
      </c>
      <c r="B3577" s="10">
        <v>34.02</v>
      </c>
      <c r="C3577" s="9"/>
      <c r="D3577" s="9">
        <f t="shared" si="55"/>
        <v>34.02</v>
      </c>
      <c r="E3577" s="11"/>
      <c r="F3577" s="9"/>
    </row>
    <row r="3578" s="1" customFormat="1" customHeight="1" spans="1:6">
      <c r="A3578" s="9" t="str">
        <f>"10360112006"</f>
        <v>10360112006</v>
      </c>
      <c r="B3578" s="10">
        <v>40.91</v>
      </c>
      <c r="C3578" s="9"/>
      <c r="D3578" s="9">
        <f t="shared" si="55"/>
        <v>40.91</v>
      </c>
      <c r="E3578" s="11"/>
      <c r="F3578" s="9"/>
    </row>
    <row r="3579" s="1" customFormat="1" customHeight="1" spans="1:6">
      <c r="A3579" s="9" t="str">
        <f>"10360112007"</f>
        <v>10360112007</v>
      </c>
      <c r="B3579" s="10">
        <v>31.12</v>
      </c>
      <c r="C3579" s="9"/>
      <c r="D3579" s="9">
        <f t="shared" si="55"/>
        <v>31.12</v>
      </c>
      <c r="E3579" s="11"/>
      <c r="F3579" s="9"/>
    </row>
    <row r="3580" s="1" customFormat="1" customHeight="1" spans="1:6">
      <c r="A3580" s="9" t="str">
        <f>"10360112008"</f>
        <v>10360112008</v>
      </c>
      <c r="B3580" s="10">
        <v>41.88</v>
      </c>
      <c r="C3580" s="9"/>
      <c r="D3580" s="9">
        <f t="shared" si="55"/>
        <v>41.88</v>
      </c>
      <c r="E3580" s="11"/>
      <c r="F3580" s="9"/>
    </row>
    <row r="3581" s="1" customFormat="1" customHeight="1" spans="1:6">
      <c r="A3581" s="9" t="str">
        <f>"10130112009"</f>
        <v>10130112009</v>
      </c>
      <c r="B3581" s="10">
        <v>44.91</v>
      </c>
      <c r="C3581" s="9"/>
      <c r="D3581" s="9">
        <f t="shared" si="55"/>
        <v>44.91</v>
      </c>
      <c r="E3581" s="11"/>
      <c r="F3581" s="9"/>
    </row>
    <row r="3582" s="1" customFormat="1" customHeight="1" spans="1:6">
      <c r="A3582" s="9" t="str">
        <f>"10510112010"</f>
        <v>10510112010</v>
      </c>
      <c r="B3582" s="10">
        <v>28.98</v>
      </c>
      <c r="C3582" s="9"/>
      <c r="D3582" s="9">
        <f t="shared" si="55"/>
        <v>28.98</v>
      </c>
      <c r="E3582" s="11"/>
      <c r="F3582" s="9"/>
    </row>
    <row r="3583" s="1" customFormat="1" customHeight="1" spans="1:6">
      <c r="A3583" s="9" t="str">
        <f>"10120112011"</f>
        <v>10120112011</v>
      </c>
      <c r="B3583" s="10">
        <v>40.06</v>
      </c>
      <c r="C3583" s="9"/>
      <c r="D3583" s="9">
        <f t="shared" si="55"/>
        <v>40.06</v>
      </c>
      <c r="E3583" s="11"/>
      <c r="F3583" s="9"/>
    </row>
    <row r="3584" s="1" customFormat="1" customHeight="1" spans="1:6">
      <c r="A3584" s="9" t="str">
        <f>"10090112012"</f>
        <v>10090112012</v>
      </c>
      <c r="B3584" s="10">
        <v>44.19</v>
      </c>
      <c r="C3584" s="9"/>
      <c r="D3584" s="9">
        <f t="shared" si="55"/>
        <v>44.19</v>
      </c>
      <c r="E3584" s="11"/>
      <c r="F3584" s="9"/>
    </row>
    <row r="3585" s="1" customFormat="1" customHeight="1" spans="1:6">
      <c r="A3585" s="9" t="str">
        <f>"10330112013"</f>
        <v>10330112013</v>
      </c>
      <c r="B3585" s="10">
        <v>35.77</v>
      </c>
      <c r="C3585" s="9"/>
      <c r="D3585" s="9">
        <f t="shared" si="55"/>
        <v>35.77</v>
      </c>
      <c r="E3585" s="11"/>
      <c r="F3585" s="9"/>
    </row>
    <row r="3586" s="1" customFormat="1" customHeight="1" spans="1:6">
      <c r="A3586" s="9" t="str">
        <f>"10230112014"</f>
        <v>10230112014</v>
      </c>
      <c r="B3586" s="10">
        <v>52.56</v>
      </c>
      <c r="C3586" s="9"/>
      <c r="D3586" s="9">
        <f t="shared" si="55"/>
        <v>52.56</v>
      </c>
      <c r="E3586" s="11"/>
      <c r="F3586" s="9"/>
    </row>
    <row r="3587" s="1" customFormat="1" customHeight="1" spans="1:6">
      <c r="A3587" s="9" t="str">
        <f>"10530112015"</f>
        <v>10530112015</v>
      </c>
      <c r="B3587" s="10">
        <v>0</v>
      </c>
      <c r="C3587" s="9"/>
      <c r="D3587" s="9">
        <f t="shared" ref="D3587:D3650" si="56">SUM(B3587:C3587)</f>
        <v>0</v>
      </c>
      <c r="E3587" s="11"/>
      <c r="F3587" s="9" t="s">
        <v>7</v>
      </c>
    </row>
    <row r="3588" s="1" customFormat="1" customHeight="1" spans="1:6">
      <c r="A3588" s="9" t="str">
        <f>"10200112016"</f>
        <v>10200112016</v>
      </c>
      <c r="B3588" s="10">
        <v>45.78</v>
      </c>
      <c r="C3588" s="9"/>
      <c r="D3588" s="9">
        <f t="shared" si="56"/>
        <v>45.78</v>
      </c>
      <c r="E3588" s="11"/>
      <c r="F3588" s="9"/>
    </row>
    <row r="3589" s="1" customFormat="1" customHeight="1" spans="1:6">
      <c r="A3589" s="9" t="str">
        <f>"10420112017"</f>
        <v>10420112017</v>
      </c>
      <c r="B3589" s="10">
        <v>50.12</v>
      </c>
      <c r="C3589" s="9"/>
      <c r="D3589" s="9">
        <f t="shared" si="56"/>
        <v>50.12</v>
      </c>
      <c r="E3589" s="11"/>
      <c r="F3589" s="9"/>
    </row>
    <row r="3590" s="1" customFormat="1" customHeight="1" spans="1:6">
      <c r="A3590" s="9" t="str">
        <f>"10190112018"</f>
        <v>10190112018</v>
      </c>
      <c r="B3590" s="10">
        <v>43.31</v>
      </c>
      <c r="C3590" s="9"/>
      <c r="D3590" s="9">
        <f t="shared" si="56"/>
        <v>43.31</v>
      </c>
      <c r="E3590" s="11"/>
      <c r="F3590" s="9"/>
    </row>
    <row r="3591" s="1" customFormat="1" customHeight="1" spans="1:6">
      <c r="A3591" s="9" t="str">
        <f>"10360112019"</f>
        <v>10360112019</v>
      </c>
      <c r="B3591" s="10">
        <v>0</v>
      </c>
      <c r="C3591" s="9"/>
      <c r="D3591" s="9">
        <f t="shared" si="56"/>
        <v>0</v>
      </c>
      <c r="E3591" s="11"/>
      <c r="F3591" s="9" t="s">
        <v>7</v>
      </c>
    </row>
    <row r="3592" s="1" customFormat="1" customHeight="1" spans="1:6">
      <c r="A3592" s="9" t="str">
        <f>"10360112020"</f>
        <v>10360112020</v>
      </c>
      <c r="B3592" s="10">
        <v>34.19</v>
      </c>
      <c r="C3592" s="9">
        <v>10</v>
      </c>
      <c r="D3592" s="9">
        <f t="shared" si="56"/>
        <v>44.19</v>
      </c>
      <c r="E3592" s="12" t="s">
        <v>8</v>
      </c>
      <c r="F3592" s="9"/>
    </row>
    <row r="3593" s="1" customFormat="1" customHeight="1" spans="1:6">
      <c r="A3593" s="9" t="str">
        <f>"10480112021"</f>
        <v>10480112021</v>
      </c>
      <c r="B3593" s="10">
        <v>43.87</v>
      </c>
      <c r="C3593" s="9"/>
      <c r="D3593" s="9">
        <f t="shared" si="56"/>
        <v>43.87</v>
      </c>
      <c r="E3593" s="11"/>
      <c r="F3593" s="9"/>
    </row>
    <row r="3594" s="1" customFormat="1" customHeight="1" spans="1:6">
      <c r="A3594" s="9" t="str">
        <f>"10300112022"</f>
        <v>10300112022</v>
      </c>
      <c r="B3594" s="10">
        <v>35.06</v>
      </c>
      <c r="C3594" s="9"/>
      <c r="D3594" s="9">
        <f t="shared" si="56"/>
        <v>35.06</v>
      </c>
      <c r="E3594" s="11"/>
      <c r="F3594" s="9"/>
    </row>
    <row r="3595" s="1" customFormat="1" customHeight="1" spans="1:6">
      <c r="A3595" s="9" t="str">
        <f>"10170112023"</f>
        <v>10170112023</v>
      </c>
      <c r="B3595" s="10">
        <v>46.97</v>
      </c>
      <c r="C3595" s="9"/>
      <c r="D3595" s="9">
        <f t="shared" si="56"/>
        <v>46.97</v>
      </c>
      <c r="E3595" s="11"/>
      <c r="F3595" s="9"/>
    </row>
    <row r="3596" s="1" customFormat="1" customHeight="1" spans="1:6">
      <c r="A3596" s="9" t="str">
        <f>"10360112024"</f>
        <v>10360112024</v>
      </c>
      <c r="B3596" s="10">
        <v>41.38</v>
      </c>
      <c r="C3596" s="9">
        <v>10</v>
      </c>
      <c r="D3596" s="9">
        <f t="shared" si="56"/>
        <v>51.38</v>
      </c>
      <c r="E3596" s="12" t="s">
        <v>8</v>
      </c>
      <c r="F3596" s="9"/>
    </row>
    <row r="3597" s="1" customFormat="1" customHeight="1" spans="1:6">
      <c r="A3597" s="9" t="str">
        <f>"10350112025"</f>
        <v>10350112025</v>
      </c>
      <c r="B3597" s="10">
        <v>46.16</v>
      </c>
      <c r="C3597" s="9"/>
      <c r="D3597" s="9">
        <f t="shared" si="56"/>
        <v>46.16</v>
      </c>
      <c r="E3597" s="11"/>
      <c r="F3597" s="9"/>
    </row>
    <row r="3598" s="1" customFormat="1" customHeight="1" spans="1:6">
      <c r="A3598" s="9" t="str">
        <f>"10420112026"</f>
        <v>10420112026</v>
      </c>
      <c r="B3598" s="10">
        <v>43.39</v>
      </c>
      <c r="C3598" s="9"/>
      <c r="D3598" s="9">
        <f t="shared" si="56"/>
        <v>43.39</v>
      </c>
      <c r="E3598" s="11"/>
      <c r="F3598" s="9"/>
    </row>
    <row r="3599" s="1" customFormat="1" customHeight="1" spans="1:6">
      <c r="A3599" s="9" t="str">
        <f>"10360112027"</f>
        <v>10360112027</v>
      </c>
      <c r="B3599" s="10">
        <v>39.8</v>
      </c>
      <c r="C3599" s="9"/>
      <c r="D3599" s="9">
        <f t="shared" si="56"/>
        <v>39.8</v>
      </c>
      <c r="E3599" s="11"/>
      <c r="F3599" s="9"/>
    </row>
    <row r="3600" s="1" customFormat="1" customHeight="1" spans="1:6">
      <c r="A3600" s="9" t="str">
        <f>"10240112028"</f>
        <v>10240112028</v>
      </c>
      <c r="B3600" s="10">
        <v>35.7</v>
      </c>
      <c r="C3600" s="9"/>
      <c r="D3600" s="9">
        <f t="shared" si="56"/>
        <v>35.7</v>
      </c>
      <c r="E3600" s="11"/>
      <c r="F3600" s="9"/>
    </row>
    <row r="3601" s="1" customFormat="1" customHeight="1" spans="1:6">
      <c r="A3601" s="9" t="str">
        <f>"10190112029"</f>
        <v>10190112029</v>
      </c>
      <c r="B3601" s="10">
        <v>0</v>
      </c>
      <c r="C3601" s="9"/>
      <c r="D3601" s="9">
        <f t="shared" si="56"/>
        <v>0</v>
      </c>
      <c r="E3601" s="11"/>
      <c r="F3601" s="9" t="s">
        <v>7</v>
      </c>
    </row>
    <row r="3602" s="1" customFormat="1" customHeight="1" spans="1:6">
      <c r="A3602" s="9" t="str">
        <f>"10240112030"</f>
        <v>10240112030</v>
      </c>
      <c r="B3602" s="10">
        <v>0</v>
      </c>
      <c r="C3602" s="9"/>
      <c r="D3602" s="9">
        <f t="shared" si="56"/>
        <v>0</v>
      </c>
      <c r="E3602" s="11"/>
      <c r="F3602" s="9" t="s">
        <v>7</v>
      </c>
    </row>
    <row r="3603" s="1" customFormat="1" customHeight="1" spans="1:6">
      <c r="A3603" s="9" t="str">
        <f>"10360112101"</f>
        <v>10360112101</v>
      </c>
      <c r="B3603" s="10">
        <v>45.65</v>
      </c>
      <c r="C3603" s="9"/>
      <c r="D3603" s="9">
        <f t="shared" si="56"/>
        <v>45.65</v>
      </c>
      <c r="E3603" s="11"/>
      <c r="F3603" s="9"/>
    </row>
    <row r="3604" s="1" customFormat="1" customHeight="1" spans="1:6">
      <c r="A3604" s="9" t="str">
        <f>"10300112102"</f>
        <v>10300112102</v>
      </c>
      <c r="B3604" s="10">
        <v>38.96</v>
      </c>
      <c r="C3604" s="9"/>
      <c r="D3604" s="9">
        <f t="shared" si="56"/>
        <v>38.96</v>
      </c>
      <c r="E3604" s="11"/>
      <c r="F3604" s="9"/>
    </row>
    <row r="3605" s="1" customFormat="1" customHeight="1" spans="1:6">
      <c r="A3605" s="9" t="str">
        <f>"10370112103"</f>
        <v>10370112103</v>
      </c>
      <c r="B3605" s="10">
        <v>47.84</v>
      </c>
      <c r="C3605" s="9"/>
      <c r="D3605" s="9">
        <f t="shared" si="56"/>
        <v>47.84</v>
      </c>
      <c r="E3605" s="11"/>
      <c r="F3605" s="9"/>
    </row>
    <row r="3606" s="1" customFormat="1" customHeight="1" spans="1:6">
      <c r="A3606" s="9" t="str">
        <f>"10300112104"</f>
        <v>10300112104</v>
      </c>
      <c r="B3606" s="10">
        <v>0</v>
      </c>
      <c r="C3606" s="9"/>
      <c r="D3606" s="9">
        <f t="shared" si="56"/>
        <v>0</v>
      </c>
      <c r="E3606" s="11"/>
      <c r="F3606" s="9" t="s">
        <v>7</v>
      </c>
    </row>
    <row r="3607" s="1" customFormat="1" customHeight="1" spans="1:6">
      <c r="A3607" s="9" t="str">
        <f>"10110112105"</f>
        <v>10110112105</v>
      </c>
      <c r="B3607" s="10">
        <v>49.18</v>
      </c>
      <c r="C3607" s="9"/>
      <c r="D3607" s="9">
        <f t="shared" si="56"/>
        <v>49.18</v>
      </c>
      <c r="E3607" s="11"/>
      <c r="F3607" s="9"/>
    </row>
    <row r="3608" s="1" customFormat="1" customHeight="1" spans="1:6">
      <c r="A3608" s="9" t="str">
        <f>"10060112106"</f>
        <v>10060112106</v>
      </c>
      <c r="B3608" s="10">
        <v>35.99</v>
      </c>
      <c r="C3608" s="9"/>
      <c r="D3608" s="9">
        <f t="shared" si="56"/>
        <v>35.99</v>
      </c>
      <c r="E3608" s="11"/>
      <c r="F3608" s="9"/>
    </row>
    <row r="3609" s="1" customFormat="1" customHeight="1" spans="1:6">
      <c r="A3609" s="9" t="str">
        <f>"10230112107"</f>
        <v>10230112107</v>
      </c>
      <c r="B3609" s="10">
        <v>62.2</v>
      </c>
      <c r="C3609" s="9"/>
      <c r="D3609" s="9">
        <f t="shared" si="56"/>
        <v>62.2</v>
      </c>
      <c r="E3609" s="11"/>
      <c r="F3609" s="9"/>
    </row>
    <row r="3610" s="1" customFormat="1" customHeight="1" spans="1:6">
      <c r="A3610" s="9" t="str">
        <f>"10060112108"</f>
        <v>10060112108</v>
      </c>
      <c r="B3610" s="10">
        <v>0</v>
      </c>
      <c r="C3610" s="9"/>
      <c r="D3610" s="9">
        <f t="shared" si="56"/>
        <v>0</v>
      </c>
      <c r="E3610" s="11"/>
      <c r="F3610" s="9" t="s">
        <v>7</v>
      </c>
    </row>
    <row r="3611" s="1" customFormat="1" customHeight="1" spans="1:6">
      <c r="A3611" s="9" t="str">
        <f>"10070112109"</f>
        <v>10070112109</v>
      </c>
      <c r="B3611" s="10">
        <v>48.34</v>
      </c>
      <c r="C3611" s="9"/>
      <c r="D3611" s="9">
        <f t="shared" si="56"/>
        <v>48.34</v>
      </c>
      <c r="E3611" s="11"/>
      <c r="F3611" s="9"/>
    </row>
    <row r="3612" s="1" customFormat="1" customHeight="1" spans="1:6">
      <c r="A3612" s="9" t="str">
        <f>"10110112110"</f>
        <v>10110112110</v>
      </c>
      <c r="B3612" s="10">
        <v>38.94</v>
      </c>
      <c r="C3612" s="9"/>
      <c r="D3612" s="9">
        <f t="shared" si="56"/>
        <v>38.94</v>
      </c>
      <c r="E3612" s="11"/>
      <c r="F3612" s="9"/>
    </row>
    <row r="3613" s="1" customFormat="1" customHeight="1" spans="1:6">
      <c r="A3613" s="9" t="str">
        <f>"10440112111"</f>
        <v>10440112111</v>
      </c>
      <c r="B3613" s="10">
        <v>38.29</v>
      </c>
      <c r="C3613" s="9"/>
      <c r="D3613" s="9">
        <f t="shared" si="56"/>
        <v>38.29</v>
      </c>
      <c r="E3613" s="11"/>
      <c r="F3613" s="9"/>
    </row>
    <row r="3614" s="1" customFormat="1" customHeight="1" spans="1:6">
      <c r="A3614" s="9" t="str">
        <f>"10530112112"</f>
        <v>10530112112</v>
      </c>
      <c r="B3614" s="10">
        <v>0</v>
      </c>
      <c r="C3614" s="9"/>
      <c r="D3614" s="9">
        <f t="shared" si="56"/>
        <v>0</v>
      </c>
      <c r="E3614" s="11"/>
      <c r="F3614" s="9" t="s">
        <v>7</v>
      </c>
    </row>
    <row r="3615" s="1" customFormat="1" customHeight="1" spans="1:6">
      <c r="A3615" s="9" t="str">
        <f>"10460112113"</f>
        <v>10460112113</v>
      </c>
      <c r="B3615" s="10">
        <v>41.15</v>
      </c>
      <c r="C3615" s="9"/>
      <c r="D3615" s="9">
        <f t="shared" si="56"/>
        <v>41.15</v>
      </c>
      <c r="E3615" s="11"/>
      <c r="F3615" s="9"/>
    </row>
    <row r="3616" s="1" customFormat="1" customHeight="1" spans="1:6">
      <c r="A3616" s="9" t="str">
        <f>"10380112114"</f>
        <v>10380112114</v>
      </c>
      <c r="B3616" s="10">
        <v>36.17</v>
      </c>
      <c r="C3616" s="9">
        <v>10</v>
      </c>
      <c r="D3616" s="9">
        <f t="shared" si="56"/>
        <v>46.17</v>
      </c>
      <c r="E3616" s="12" t="s">
        <v>8</v>
      </c>
      <c r="F3616" s="9"/>
    </row>
    <row r="3617" s="1" customFormat="1" customHeight="1" spans="1:6">
      <c r="A3617" s="9" t="str">
        <f>"10240112115"</f>
        <v>10240112115</v>
      </c>
      <c r="B3617" s="10">
        <v>46.84</v>
      </c>
      <c r="C3617" s="9"/>
      <c r="D3617" s="9">
        <f t="shared" si="56"/>
        <v>46.84</v>
      </c>
      <c r="E3617" s="11"/>
      <c r="F3617" s="9"/>
    </row>
    <row r="3618" s="1" customFormat="1" customHeight="1" spans="1:6">
      <c r="A3618" s="9" t="str">
        <f>"10350112116"</f>
        <v>10350112116</v>
      </c>
      <c r="B3618" s="10">
        <v>40.14</v>
      </c>
      <c r="C3618" s="9"/>
      <c r="D3618" s="9">
        <f t="shared" si="56"/>
        <v>40.14</v>
      </c>
      <c r="E3618" s="11"/>
      <c r="F3618" s="9"/>
    </row>
    <row r="3619" s="1" customFormat="1" customHeight="1" spans="1:6">
      <c r="A3619" s="9" t="str">
        <f>"10530112117"</f>
        <v>10530112117</v>
      </c>
      <c r="B3619" s="10">
        <v>0</v>
      </c>
      <c r="C3619" s="9"/>
      <c r="D3619" s="9">
        <f t="shared" si="56"/>
        <v>0</v>
      </c>
      <c r="E3619" s="11"/>
      <c r="F3619" s="9" t="s">
        <v>7</v>
      </c>
    </row>
    <row r="3620" s="1" customFormat="1" customHeight="1" spans="1:6">
      <c r="A3620" s="9" t="str">
        <f>"10360112118"</f>
        <v>10360112118</v>
      </c>
      <c r="B3620" s="10">
        <v>0</v>
      </c>
      <c r="C3620" s="9"/>
      <c r="D3620" s="9">
        <f t="shared" si="56"/>
        <v>0</v>
      </c>
      <c r="E3620" s="11"/>
      <c r="F3620" s="9" t="s">
        <v>7</v>
      </c>
    </row>
    <row r="3621" s="1" customFormat="1" customHeight="1" spans="1:6">
      <c r="A3621" s="9" t="str">
        <f>"10120112119"</f>
        <v>10120112119</v>
      </c>
      <c r="B3621" s="10">
        <v>0</v>
      </c>
      <c r="C3621" s="9"/>
      <c r="D3621" s="9">
        <f t="shared" si="56"/>
        <v>0</v>
      </c>
      <c r="E3621" s="11"/>
      <c r="F3621" s="9" t="s">
        <v>7</v>
      </c>
    </row>
    <row r="3622" s="1" customFormat="1" customHeight="1" spans="1:6">
      <c r="A3622" s="9" t="str">
        <f>"10080112120"</f>
        <v>10080112120</v>
      </c>
      <c r="B3622" s="10">
        <v>46.72</v>
      </c>
      <c r="C3622" s="9"/>
      <c r="D3622" s="9">
        <f t="shared" si="56"/>
        <v>46.72</v>
      </c>
      <c r="E3622" s="11"/>
      <c r="F3622" s="9"/>
    </row>
    <row r="3623" s="1" customFormat="1" customHeight="1" spans="1:6">
      <c r="A3623" s="9" t="str">
        <f>"10120112121"</f>
        <v>10120112121</v>
      </c>
      <c r="B3623" s="10">
        <v>39.94</v>
      </c>
      <c r="C3623" s="9"/>
      <c r="D3623" s="9">
        <f t="shared" si="56"/>
        <v>39.94</v>
      </c>
      <c r="E3623" s="11"/>
      <c r="F3623" s="9"/>
    </row>
    <row r="3624" s="1" customFormat="1" customHeight="1" spans="1:6">
      <c r="A3624" s="9" t="str">
        <f>"10180112122"</f>
        <v>10180112122</v>
      </c>
      <c r="B3624" s="10">
        <v>0</v>
      </c>
      <c r="C3624" s="9"/>
      <c r="D3624" s="9">
        <f t="shared" si="56"/>
        <v>0</v>
      </c>
      <c r="E3624" s="11"/>
      <c r="F3624" s="9" t="s">
        <v>7</v>
      </c>
    </row>
    <row r="3625" s="1" customFormat="1" customHeight="1" spans="1:6">
      <c r="A3625" s="9" t="str">
        <f>"10110112123"</f>
        <v>10110112123</v>
      </c>
      <c r="B3625" s="10">
        <v>46.38</v>
      </c>
      <c r="C3625" s="9"/>
      <c r="D3625" s="9">
        <f t="shared" si="56"/>
        <v>46.38</v>
      </c>
      <c r="E3625" s="11"/>
      <c r="F3625" s="9"/>
    </row>
    <row r="3626" s="1" customFormat="1" customHeight="1" spans="1:6">
      <c r="A3626" s="9" t="str">
        <f>"10530112124"</f>
        <v>10530112124</v>
      </c>
      <c r="B3626" s="10">
        <v>39.92</v>
      </c>
      <c r="C3626" s="9"/>
      <c r="D3626" s="9">
        <f t="shared" si="56"/>
        <v>39.92</v>
      </c>
      <c r="E3626" s="11"/>
      <c r="F3626" s="9"/>
    </row>
    <row r="3627" s="1" customFormat="1" customHeight="1" spans="1:6">
      <c r="A3627" s="9" t="str">
        <f>"10330112125"</f>
        <v>10330112125</v>
      </c>
      <c r="B3627" s="10">
        <v>38.46</v>
      </c>
      <c r="C3627" s="9"/>
      <c r="D3627" s="9">
        <f t="shared" si="56"/>
        <v>38.46</v>
      </c>
      <c r="E3627" s="11"/>
      <c r="F3627" s="9"/>
    </row>
    <row r="3628" s="1" customFormat="1" customHeight="1" spans="1:6">
      <c r="A3628" s="9" t="str">
        <f>"10480112126"</f>
        <v>10480112126</v>
      </c>
      <c r="B3628" s="10">
        <v>0</v>
      </c>
      <c r="C3628" s="9"/>
      <c r="D3628" s="9">
        <f t="shared" si="56"/>
        <v>0</v>
      </c>
      <c r="E3628" s="11"/>
      <c r="F3628" s="9" t="s">
        <v>7</v>
      </c>
    </row>
    <row r="3629" s="1" customFormat="1" customHeight="1" spans="1:6">
      <c r="A3629" s="9" t="str">
        <f>"10130112127"</f>
        <v>10130112127</v>
      </c>
      <c r="B3629" s="10">
        <v>38.25</v>
      </c>
      <c r="C3629" s="9"/>
      <c r="D3629" s="9">
        <f t="shared" si="56"/>
        <v>38.25</v>
      </c>
      <c r="E3629" s="11"/>
      <c r="F3629" s="9"/>
    </row>
    <row r="3630" s="1" customFormat="1" customHeight="1" spans="1:6">
      <c r="A3630" s="9" t="str">
        <f>"10290112128"</f>
        <v>10290112128</v>
      </c>
      <c r="B3630" s="10">
        <v>34.76</v>
      </c>
      <c r="C3630" s="9"/>
      <c r="D3630" s="9">
        <f t="shared" si="56"/>
        <v>34.76</v>
      </c>
      <c r="E3630" s="11"/>
      <c r="F3630" s="9"/>
    </row>
    <row r="3631" s="1" customFormat="1" customHeight="1" spans="1:6">
      <c r="A3631" s="9" t="str">
        <f>"10310112129"</f>
        <v>10310112129</v>
      </c>
      <c r="B3631" s="10">
        <v>39.25</v>
      </c>
      <c r="C3631" s="9"/>
      <c r="D3631" s="9">
        <f t="shared" si="56"/>
        <v>39.25</v>
      </c>
      <c r="E3631" s="11"/>
      <c r="F3631" s="9"/>
    </row>
    <row r="3632" s="1" customFormat="1" customHeight="1" spans="1:6">
      <c r="A3632" s="9" t="str">
        <f>"10360112130"</f>
        <v>10360112130</v>
      </c>
      <c r="B3632" s="10">
        <v>30.74</v>
      </c>
      <c r="C3632" s="9"/>
      <c r="D3632" s="9">
        <f t="shared" si="56"/>
        <v>30.74</v>
      </c>
      <c r="E3632" s="11"/>
      <c r="F3632" s="9"/>
    </row>
    <row r="3633" s="1" customFormat="1" customHeight="1" spans="1:6">
      <c r="A3633" s="9" t="str">
        <f>"10080112201"</f>
        <v>10080112201</v>
      </c>
      <c r="B3633" s="10">
        <v>46.66</v>
      </c>
      <c r="C3633" s="9"/>
      <c r="D3633" s="9">
        <f t="shared" si="56"/>
        <v>46.66</v>
      </c>
      <c r="E3633" s="11"/>
      <c r="F3633" s="9"/>
    </row>
    <row r="3634" s="1" customFormat="1" customHeight="1" spans="1:6">
      <c r="A3634" s="9" t="str">
        <f>"10330112202"</f>
        <v>10330112202</v>
      </c>
      <c r="B3634" s="10">
        <v>51.9</v>
      </c>
      <c r="C3634" s="9"/>
      <c r="D3634" s="9">
        <f t="shared" si="56"/>
        <v>51.9</v>
      </c>
      <c r="E3634" s="11"/>
      <c r="F3634" s="9"/>
    </row>
    <row r="3635" s="1" customFormat="1" customHeight="1" spans="1:6">
      <c r="A3635" s="9" t="str">
        <f>"10530112203"</f>
        <v>10530112203</v>
      </c>
      <c r="B3635" s="10">
        <v>39.78</v>
      </c>
      <c r="C3635" s="9">
        <v>10</v>
      </c>
      <c r="D3635" s="9">
        <f t="shared" si="56"/>
        <v>49.78</v>
      </c>
      <c r="E3635" s="12" t="s">
        <v>8</v>
      </c>
      <c r="F3635" s="9"/>
    </row>
    <row r="3636" s="1" customFormat="1" customHeight="1" spans="1:6">
      <c r="A3636" s="9" t="str">
        <f>"10520112204"</f>
        <v>10520112204</v>
      </c>
      <c r="B3636" s="10">
        <v>34.48</v>
      </c>
      <c r="C3636" s="9"/>
      <c r="D3636" s="9">
        <f t="shared" si="56"/>
        <v>34.48</v>
      </c>
      <c r="E3636" s="11"/>
      <c r="F3636" s="9"/>
    </row>
    <row r="3637" s="1" customFormat="1" customHeight="1" spans="1:6">
      <c r="A3637" s="9" t="str">
        <f>"10370112205"</f>
        <v>10370112205</v>
      </c>
      <c r="B3637" s="10">
        <v>0</v>
      </c>
      <c r="C3637" s="9"/>
      <c r="D3637" s="9">
        <f t="shared" si="56"/>
        <v>0</v>
      </c>
      <c r="E3637" s="11"/>
      <c r="F3637" s="9" t="s">
        <v>7</v>
      </c>
    </row>
    <row r="3638" s="1" customFormat="1" customHeight="1" spans="1:6">
      <c r="A3638" s="9" t="str">
        <f>"10520112206"</f>
        <v>10520112206</v>
      </c>
      <c r="B3638" s="10">
        <v>41.62</v>
      </c>
      <c r="C3638" s="9"/>
      <c r="D3638" s="9">
        <f t="shared" si="56"/>
        <v>41.62</v>
      </c>
      <c r="E3638" s="11"/>
      <c r="F3638" s="9"/>
    </row>
    <row r="3639" s="1" customFormat="1" customHeight="1" spans="1:6">
      <c r="A3639" s="9" t="str">
        <f>"10360112207"</f>
        <v>10360112207</v>
      </c>
      <c r="B3639" s="10">
        <v>37.42</v>
      </c>
      <c r="C3639" s="9"/>
      <c r="D3639" s="9">
        <f t="shared" si="56"/>
        <v>37.42</v>
      </c>
      <c r="E3639" s="11"/>
      <c r="F3639" s="9"/>
    </row>
    <row r="3640" s="1" customFormat="1" customHeight="1" spans="1:6">
      <c r="A3640" s="9" t="str">
        <f>"10530112208"</f>
        <v>10530112208</v>
      </c>
      <c r="B3640" s="10">
        <v>38.78</v>
      </c>
      <c r="C3640" s="9"/>
      <c r="D3640" s="9">
        <f t="shared" si="56"/>
        <v>38.78</v>
      </c>
      <c r="E3640" s="11"/>
      <c r="F3640" s="9"/>
    </row>
    <row r="3641" s="1" customFormat="1" customHeight="1" spans="1:6">
      <c r="A3641" s="9" t="str">
        <f>"10040112209"</f>
        <v>10040112209</v>
      </c>
      <c r="B3641" s="10">
        <v>42.13</v>
      </c>
      <c r="C3641" s="9"/>
      <c r="D3641" s="9">
        <f t="shared" si="56"/>
        <v>42.13</v>
      </c>
      <c r="E3641" s="11"/>
      <c r="F3641" s="9"/>
    </row>
    <row r="3642" s="1" customFormat="1" customHeight="1" spans="1:6">
      <c r="A3642" s="9" t="str">
        <f>"10230112210"</f>
        <v>10230112210</v>
      </c>
      <c r="B3642" s="10">
        <v>0</v>
      </c>
      <c r="C3642" s="9"/>
      <c r="D3642" s="9">
        <f t="shared" si="56"/>
        <v>0</v>
      </c>
      <c r="E3642" s="11"/>
      <c r="F3642" s="9" t="s">
        <v>7</v>
      </c>
    </row>
    <row r="3643" s="1" customFormat="1" customHeight="1" spans="1:6">
      <c r="A3643" s="9" t="str">
        <f>"10530112211"</f>
        <v>10530112211</v>
      </c>
      <c r="B3643" s="10">
        <v>39.16</v>
      </c>
      <c r="C3643" s="9"/>
      <c r="D3643" s="9">
        <f t="shared" si="56"/>
        <v>39.16</v>
      </c>
      <c r="E3643" s="11"/>
      <c r="F3643" s="9"/>
    </row>
    <row r="3644" s="1" customFormat="1" customHeight="1" spans="1:6">
      <c r="A3644" s="9" t="str">
        <f>"10360112212"</f>
        <v>10360112212</v>
      </c>
      <c r="B3644" s="10">
        <v>22.22</v>
      </c>
      <c r="C3644" s="9"/>
      <c r="D3644" s="9">
        <f t="shared" si="56"/>
        <v>22.22</v>
      </c>
      <c r="E3644" s="11"/>
      <c r="F3644" s="9"/>
    </row>
    <row r="3645" s="1" customFormat="1" customHeight="1" spans="1:6">
      <c r="A3645" s="9" t="str">
        <f>"10180112213"</f>
        <v>10180112213</v>
      </c>
      <c r="B3645" s="10">
        <v>0</v>
      </c>
      <c r="C3645" s="9"/>
      <c r="D3645" s="9">
        <f t="shared" si="56"/>
        <v>0</v>
      </c>
      <c r="E3645" s="11"/>
      <c r="F3645" s="9" t="s">
        <v>7</v>
      </c>
    </row>
    <row r="3646" s="1" customFormat="1" customHeight="1" spans="1:6">
      <c r="A3646" s="9" t="str">
        <f>"10360112214"</f>
        <v>10360112214</v>
      </c>
      <c r="B3646" s="10">
        <v>0</v>
      </c>
      <c r="C3646" s="9"/>
      <c r="D3646" s="9">
        <f t="shared" si="56"/>
        <v>0</v>
      </c>
      <c r="E3646" s="11"/>
      <c r="F3646" s="9" t="s">
        <v>7</v>
      </c>
    </row>
    <row r="3647" s="1" customFormat="1" customHeight="1" spans="1:6">
      <c r="A3647" s="9" t="str">
        <f>"10360112215"</f>
        <v>10360112215</v>
      </c>
      <c r="B3647" s="10">
        <v>41.9</v>
      </c>
      <c r="C3647" s="9"/>
      <c r="D3647" s="9">
        <f t="shared" si="56"/>
        <v>41.9</v>
      </c>
      <c r="E3647" s="11"/>
      <c r="F3647" s="9"/>
    </row>
    <row r="3648" s="1" customFormat="1" customHeight="1" spans="1:6">
      <c r="A3648" s="9" t="str">
        <f>"10360112216"</f>
        <v>10360112216</v>
      </c>
      <c r="B3648" s="10">
        <v>31.41</v>
      </c>
      <c r="C3648" s="9">
        <v>10</v>
      </c>
      <c r="D3648" s="9">
        <f t="shared" si="56"/>
        <v>41.41</v>
      </c>
      <c r="E3648" s="12" t="s">
        <v>8</v>
      </c>
      <c r="F3648" s="9"/>
    </row>
    <row r="3649" s="1" customFormat="1" customHeight="1" spans="1:6">
      <c r="A3649" s="9" t="str">
        <f>"10360112217"</f>
        <v>10360112217</v>
      </c>
      <c r="B3649" s="10">
        <v>17.15</v>
      </c>
      <c r="C3649" s="9"/>
      <c r="D3649" s="9">
        <f t="shared" si="56"/>
        <v>17.15</v>
      </c>
      <c r="E3649" s="11"/>
      <c r="F3649" s="9"/>
    </row>
    <row r="3650" s="1" customFormat="1" customHeight="1" spans="1:6">
      <c r="A3650" s="9" t="str">
        <f>"10200112218"</f>
        <v>10200112218</v>
      </c>
      <c r="B3650" s="10">
        <v>0</v>
      </c>
      <c r="C3650" s="9"/>
      <c r="D3650" s="9">
        <f t="shared" si="56"/>
        <v>0</v>
      </c>
      <c r="E3650" s="11"/>
      <c r="F3650" s="9" t="s">
        <v>7</v>
      </c>
    </row>
    <row r="3651" s="1" customFormat="1" customHeight="1" spans="1:6">
      <c r="A3651" s="9" t="str">
        <f>"10060112219"</f>
        <v>10060112219</v>
      </c>
      <c r="B3651" s="10">
        <v>0</v>
      </c>
      <c r="C3651" s="9"/>
      <c r="D3651" s="9">
        <f t="shared" ref="D3651:D3714" si="57">SUM(B3651:C3651)</f>
        <v>0</v>
      </c>
      <c r="E3651" s="11"/>
      <c r="F3651" s="9" t="s">
        <v>7</v>
      </c>
    </row>
    <row r="3652" s="1" customFormat="1" customHeight="1" spans="1:6">
      <c r="A3652" s="9" t="str">
        <f>"10430112220"</f>
        <v>10430112220</v>
      </c>
      <c r="B3652" s="10">
        <v>38.96</v>
      </c>
      <c r="C3652" s="9"/>
      <c r="D3652" s="9">
        <f t="shared" si="57"/>
        <v>38.96</v>
      </c>
      <c r="E3652" s="11"/>
      <c r="F3652" s="9"/>
    </row>
    <row r="3653" s="1" customFormat="1" customHeight="1" spans="1:6">
      <c r="A3653" s="9" t="str">
        <f>"10120112221"</f>
        <v>10120112221</v>
      </c>
      <c r="B3653" s="10">
        <v>0</v>
      </c>
      <c r="C3653" s="9"/>
      <c r="D3653" s="9">
        <f t="shared" si="57"/>
        <v>0</v>
      </c>
      <c r="E3653" s="11"/>
      <c r="F3653" s="9" t="s">
        <v>7</v>
      </c>
    </row>
    <row r="3654" s="1" customFormat="1" customHeight="1" spans="1:6">
      <c r="A3654" s="9" t="str">
        <f>"10160112222"</f>
        <v>10160112222</v>
      </c>
      <c r="B3654" s="10">
        <v>36.93</v>
      </c>
      <c r="C3654" s="9"/>
      <c r="D3654" s="9">
        <f t="shared" si="57"/>
        <v>36.93</v>
      </c>
      <c r="E3654" s="11"/>
      <c r="F3654" s="9"/>
    </row>
    <row r="3655" s="1" customFormat="1" customHeight="1" spans="1:6">
      <c r="A3655" s="9" t="str">
        <f>"10360112223"</f>
        <v>10360112223</v>
      </c>
      <c r="B3655" s="10">
        <v>0</v>
      </c>
      <c r="C3655" s="9"/>
      <c r="D3655" s="9">
        <f t="shared" si="57"/>
        <v>0</v>
      </c>
      <c r="E3655" s="11"/>
      <c r="F3655" s="9" t="s">
        <v>7</v>
      </c>
    </row>
    <row r="3656" s="1" customFormat="1" customHeight="1" spans="1:6">
      <c r="A3656" s="9" t="str">
        <f>"10360112224"</f>
        <v>10360112224</v>
      </c>
      <c r="B3656" s="10">
        <v>42.47</v>
      </c>
      <c r="C3656" s="9"/>
      <c r="D3656" s="9">
        <f t="shared" si="57"/>
        <v>42.47</v>
      </c>
      <c r="E3656" s="11"/>
      <c r="F3656" s="9"/>
    </row>
    <row r="3657" s="1" customFormat="1" customHeight="1" spans="1:6">
      <c r="A3657" s="9" t="str">
        <f>"10360112225"</f>
        <v>10360112225</v>
      </c>
      <c r="B3657" s="10">
        <v>0</v>
      </c>
      <c r="C3657" s="9"/>
      <c r="D3657" s="9">
        <f t="shared" si="57"/>
        <v>0</v>
      </c>
      <c r="E3657" s="11"/>
      <c r="F3657" s="9" t="s">
        <v>7</v>
      </c>
    </row>
    <row r="3658" s="1" customFormat="1" customHeight="1" spans="1:6">
      <c r="A3658" s="9" t="str">
        <f>"10060112226"</f>
        <v>10060112226</v>
      </c>
      <c r="B3658" s="10">
        <v>38.76</v>
      </c>
      <c r="C3658" s="9"/>
      <c r="D3658" s="9">
        <f t="shared" si="57"/>
        <v>38.76</v>
      </c>
      <c r="E3658" s="11"/>
      <c r="F3658" s="9"/>
    </row>
    <row r="3659" s="1" customFormat="1" customHeight="1" spans="1:6">
      <c r="A3659" s="9" t="str">
        <f>"10020112227"</f>
        <v>10020112227</v>
      </c>
      <c r="B3659" s="10">
        <v>35.32</v>
      </c>
      <c r="C3659" s="9"/>
      <c r="D3659" s="9">
        <f t="shared" si="57"/>
        <v>35.32</v>
      </c>
      <c r="E3659" s="11"/>
      <c r="F3659" s="9"/>
    </row>
    <row r="3660" s="1" customFormat="1" customHeight="1" spans="1:6">
      <c r="A3660" s="9" t="str">
        <f>"10080112228"</f>
        <v>10080112228</v>
      </c>
      <c r="B3660" s="10">
        <v>46.98</v>
      </c>
      <c r="C3660" s="9"/>
      <c r="D3660" s="9">
        <f t="shared" si="57"/>
        <v>46.98</v>
      </c>
      <c r="E3660" s="11"/>
      <c r="F3660" s="9"/>
    </row>
    <row r="3661" s="1" customFormat="1" customHeight="1" spans="1:6">
      <c r="A3661" s="9" t="str">
        <f>"10360112229"</f>
        <v>10360112229</v>
      </c>
      <c r="B3661" s="10">
        <v>49.93</v>
      </c>
      <c r="C3661" s="9"/>
      <c r="D3661" s="9">
        <f t="shared" si="57"/>
        <v>49.93</v>
      </c>
      <c r="E3661" s="11"/>
      <c r="F3661" s="9"/>
    </row>
    <row r="3662" s="1" customFormat="1" customHeight="1" spans="1:6">
      <c r="A3662" s="9" t="str">
        <f>"10450112230"</f>
        <v>10450112230</v>
      </c>
      <c r="B3662" s="10">
        <v>41.92</v>
      </c>
      <c r="C3662" s="9"/>
      <c r="D3662" s="9">
        <f t="shared" si="57"/>
        <v>41.92</v>
      </c>
      <c r="E3662" s="11"/>
      <c r="F3662" s="9"/>
    </row>
    <row r="3663" s="1" customFormat="1" customHeight="1" spans="1:6">
      <c r="A3663" s="9" t="str">
        <f>"10360112301"</f>
        <v>10360112301</v>
      </c>
      <c r="B3663" s="10">
        <v>39.41</v>
      </c>
      <c r="C3663" s="9"/>
      <c r="D3663" s="9">
        <f t="shared" si="57"/>
        <v>39.41</v>
      </c>
      <c r="E3663" s="11"/>
      <c r="F3663" s="9"/>
    </row>
    <row r="3664" s="1" customFormat="1" customHeight="1" spans="1:6">
      <c r="A3664" s="9" t="str">
        <f>"10310112302"</f>
        <v>10310112302</v>
      </c>
      <c r="B3664" s="10">
        <v>0</v>
      </c>
      <c r="C3664" s="9"/>
      <c r="D3664" s="9">
        <f t="shared" si="57"/>
        <v>0</v>
      </c>
      <c r="E3664" s="11"/>
      <c r="F3664" s="9" t="s">
        <v>7</v>
      </c>
    </row>
    <row r="3665" s="1" customFormat="1" customHeight="1" spans="1:6">
      <c r="A3665" s="9" t="str">
        <f>"10500112303"</f>
        <v>10500112303</v>
      </c>
      <c r="B3665" s="10">
        <v>0</v>
      </c>
      <c r="C3665" s="9"/>
      <c r="D3665" s="9">
        <f t="shared" si="57"/>
        <v>0</v>
      </c>
      <c r="E3665" s="11"/>
      <c r="F3665" s="9" t="s">
        <v>7</v>
      </c>
    </row>
    <row r="3666" s="1" customFormat="1" customHeight="1" spans="1:6">
      <c r="A3666" s="9" t="str">
        <f>"10300112304"</f>
        <v>10300112304</v>
      </c>
      <c r="B3666" s="10">
        <v>40.5</v>
      </c>
      <c r="C3666" s="9"/>
      <c r="D3666" s="9">
        <f t="shared" si="57"/>
        <v>40.5</v>
      </c>
      <c r="E3666" s="11"/>
      <c r="F3666" s="9"/>
    </row>
    <row r="3667" s="1" customFormat="1" customHeight="1" spans="1:6">
      <c r="A3667" s="9" t="str">
        <f>"10330112305"</f>
        <v>10330112305</v>
      </c>
      <c r="B3667" s="10">
        <v>0</v>
      </c>
      <c r="C3667" s="9"/>
      <c r="D3667" s="9">
        <f t="shared" si="57"/>
        <v>0</v>
      </c>
      <c r="E3667" s="11"/>
      <c r="F3667" s="9" t="s">
        <v>7</v>
      </c>
    </row>
    <row r="3668" s="1" customFormat="1" customHeight="1" spans="1:6">
      <c r="A3668" s="9" t="str">
        <f>"10500112306"</f>
        <v>10500112306</v>
      </c>
      <c r="B3668" s="10">
        <v>34.19</v>
      </c>
      <c r="C3668" s="9"/>
      <c r="D3668" s="9">
        <f t="shared" si="57"/>
        <v>34.19</v>
      </c>
      <c r="E3668" s="11"/>
      <c r="F3668" s="9"/>
    </row>
    <row r="3669" s="1" customFormat="1" customHeight="1" spans="1:6">
      <c r="A3669" s="9" t="str">
        <f>"10170112307"</f>
        <v>10170112307</v>
      </c>
      <c r="B3669" s="10">
        <v>38.07</v>
      </c>
      <c r="C3669" s="9"/>
      <c r="D3669" s="9">
        <f t="shared" si="57"/>
        <v>38.07</v>
      </c>
      <c r="E3669" s="11"/>
      <c r="F3669" s="9"/>
    </row>
    <row r="3670" s="1" customFormat="1" customHeight="1" spans="1:6">
      <c r="A3670" s="9" t="str">
        <f>"10530112308"</f>
        <v>10530112308</v>
      </c>
      <c r="B3670" s="10">
        <v>0</v>
      </c>
      <c r="C3670" s="9"/>
      <c r="D3670" s="9">
        <f t="shared" si="57"/>
        <v>0</v>
      </c>
      <c r="E3670" s="11"/>
      <c r="F3670" s="9" t="s">
        <v>7</v>
      </c>
    </row>
    <row r="3671" s="1" customFormat="1" customHeight="1" spans="1:6">
      <c r="A3671" s="9" t="str">
        <f>"10330112309"</f>
        <v>10330112309</v>
      </c>
      <c r="B3671" s="10">
        <v>34</v>
      </c>
      <c r="C3671" s="9"/>
      <c r="D3671" s="9">
        <f t="shared" si="57"/>
        <v>34</v>
      </c>
      <c r="E3671" s="11"/>
      <c r="F3671" s="9"/>
    </row>
    <row r="3672" s="1" customFormat="1" customHeight="1" spans="1:6">
      <c r="A3672" s="9" t="str">
        <f>"10360112310"</f>
        <v>10360112310</v>
      </c>
      <c r="B3672" s="10">
        <v>47.33</v>
      </c>
      <c r="C3672" s="9"/>
      <c r="D3672" s="9">
        <f t="shared" si="57"/>
        <v>47.33</v>
      </c>
      <c r="E3672" s="11"/>
      <c r="F3672" s="9"/>
    </row>
    <row r="3673" s="1" customFormat="1" customHeight="1" spans="1:6">
      <c r="A3673" s="9" t="str">
        <f>"10130112311"</f>
        <v>10130112311</v>
      </c>
      <c r="B3673" s="10">
        <v>52.84</v>
      </c>
      <c r="C3673" s="9"/>
      <c r="D3673" s="9">
        <f t="shared" si="57"/>
        <v>52.84</v>
      </c>
      <c r="E3673" s="11"/>
      <c r="F3673" s="9"/>
    </row>
    <row r="3674" s="1" customFormat="1" customHeight="1" spans="1:6">
      <c r="A3674" s="9" t="str">
        <f>"10240112312"</f>
        <v>10240112312</v>
      </c>
      <c r="B3674" s="10">
        <v>0</v>
      </c>
      <c r="C3674" s="9"/>
      <c r="D3674" s="9">
        <f t="shared" si="57"/>
        <v>0</v>
      </c>
      <c r="E3674" s="11"/>
      <c r="F3674" s="9" t="s">
        <v>7</v>
      </c>
    </row>
    <row r="3675" s="1" customFormat="1" customHeight="1" spans="1:6">
      <c r="A3675" s="9" t="str">
        <f>"10380112313"</f>
        <v>10380112313</v>
      </c>
      <c r="B3675" s="10">
        <v>0</v>
      </c>
      <c r="C3675" s="9"/>
      <c r="D3675" s="9">
        <f t="shared" si="57"/>
        <v>0</v>
      </c>
      <c r="E3675" s="11"/>
      <c r="F3675" s="9" t="s">
        <v>7</v>
      </c>
    </row>
    <row r="3676" s="1" customFormat="1" customHeight="1" spans="1:6">
      <c r="A3676" s="9" t="str">
        <f>"10430112314"</f>
        <v>10430112314</v>
      </c>
      <c r="B3676" s="10">
        <v>0</v>
      </c>
      <c r="C3676" s="9"/>
      <c r="D3676" s="9">
        <f t="shared" si="57"/>
        <v>0</v>
      </c>
      <c r="E3676" s="11"/>
      <c r="F3676" s="9" t="s">
        <v>7</v>
      </c>
    </row>
    <row r="3677" s="1" customFormat="1" customHeight="1" spans="1:6">
      <c r="A3677" s="9" t="str">
        <f>"10060112315"</f>
        <v>10060112315</v>
      </c>
      <c r="B3677" s="10">
        <v>39.91</v>
      </c>
      <c r="C3677" s="9"/>
      <c r="D3677" s="9">
        <f t="shared" si="57"/>
        <v>39.91</v>
      </c>
      <c r="E3677" s="11"/>
      <c r="F3677" s="9"/>
    </row>
    <row r="3678" s="1" customFormat="1" customHeight="1" spans="1:6">
      <c r="A3678" s="9" t="str">
        <f>"10360112316"</f>
        <v>10360112316</v>
      </c>
      <c r="B3678" s="10">
        <v>36.79</v>
      </c>
      <c r="C3678" s="9"/>
      <c r="D3678" s="9">
        <f t="shared" si="57"/>
        <v>36.79</v>
      </c>
      <c r="E3678" s="11"/>
      <c r="F3678" s="9"/>
    </row>
    <row r="3679" s="1" customFormat="1" customHeight="1" spans="1:6">
      <c r="A3679" s="9" t="str">
        <f>"10360112317"</f>
        <v>10360112317</v>
      </c>
      <c r="B3679" s="10">
        <v>27.45</v>
      </c>
      <c r="C3679" s="9"/>
      <c r="D3679" s="9">
        <f t="shared" si="57"/>
        <v>27.45</v>
      </c>
      <c r="E3679" s="11"/>
      <c r="F3679" s="9"/>
    </row>
    <row r="3680" s="1" customFormat="1" customHeight="1" spans="1:6">
      <c r="A3680" s="9" t="str">
        <f>"10120112318"</f>
        <v>10120112318</v>
      </c>
      <c r="B3680" s="10">
        <v>39.76</v>
      </c>
      <c r="C3680" s="9"/>
      <c r="D3680" s="9">
        <f t="shared" si="57"/>
        <v>39.76</v>
      </c>
      <c r="E3680" s="11"/>
      <c r="F3680" s="9"/>
    </row>
    <row r="3681" s="1" customFormat="1" customHeight="1" spans="1:6">
      <c r="A3681" s="9" t="str">
        <f>"10130112319"</f>
        <v>10130112319</v>
      </c>
      <c r="B3681" s="10">
        <v>38.67</v>
      </c>
      <c r="C3681" s="9"/>
      <c r="D3681" s="9">
        <f t="shared" si="57"/>
        <v>38.67</v>
      </c>
      <c r="E3681" s="11"/>
      <c r="F3681" s="9"/>
    </row>
    <row r="3682" s="1" customFormat="1" customHeight="1" spans="1:6">
      <c r="A3682" s="9" t="str">
        <f>"10530112320"</f>
        <v>10530112320</v>
      </c>
      <c r="B3682" s="10">
        <v>37.71</v>
      </c>
      <c r="C3682" s="9"/>
      <c r="D3682" s="9">
        <f t="shared" si="57"/>
        <v>37.71</v>
      </c>
      <c r="E3682" s="11"/>
      <c r="F3682" s="9"/>
    </row>
    <row r="3683" s="1" customFormat="1" customHeight="1" spans="1:6">
      <c r="A3683" s="9" t="str">
        <f>"20180112321"</f>
        <v>20180112321</v>
      </c>
      <c r="B3683" s="10">
        <v>38.83</v>
      </c>
      <c r="C3683" s="9"/>
      <c r="D3683" s="9">
        <f t="shared" si="57"/>
        <v>38.83</v>
      </c>
      <c r="E3683" s="11"/>
      <c r="F3683" s="9"/>
    </row>
    <row r="3684" s="1" customFormat="1" customHeight="1" spans="1:6">
      <c r="A3684" s="9" t="str">
        <f>"10530112322"</f>
        <v>10530112322</v>
      </c>
      <c r="B3684" s="10">
        <v>0</v>
      </c>
      <c r="C3684" s="9"/>
      <c r="D3684" s="9">
        <f t="shared" si="57"/>
        <v>0</v>
      </c>
      <c r="E3684" s="11"/>
      <c r="F3684" s="9" t="s">
        <v>7</v>
      </c>
    </row>
    <row r="3685" s="1" customFormat="1" customHeight="1" spans="1:6">
      <c r="A3685" s="9" t="str">
        <f>"10300112323"</f>
        <v>10300112323</v>
      </c>
      <c r="B3685" s="10">
        <v>0</v>
      </c>
      <c r="C3685" s="9"/>
      <c r="D3685" s="9">
        <f t="shared" si="57"/>
        <v>0</v>
      </c>
      <c r="E3685" s="11"/>
      <c r="F3685" s="9" t="s">
        <v>7</v>
      </c>
    </row>
    <row r="3686" s="1" customFormat="1" customHeight="1" spans="1:6">
      <c r="A3686" s="9" t="str">
        <f>"10100112324"</f>
        <v>10100112324</v>
      </c>
      <c r="B3686" s="10">
        <v>43.73</v>
      </c>
      <c r="C3686" s="9"/>
      <c r="D3686" s="9">
        <f t="shared" si="57"/>
        <v>43.73</v>
      </c>
      <c r="E3686" s="11"/>
      <c r="F3686" s="9"/>
    </row>
    <row r="3687" s="1" customFormat="1" customHeight="1" spans="1:6">
      <c r="A3687" s="9" t="str">
        <f>"10510112325"</f>
        <v>10510112325</v>
      </c>
      <c r="B3687" s="10">
        <v>0</v>
      </c>
      <c r="C3687" s="9"/>
      <c r="D3687" s="9">
        <f t="shared" si="57"/>
        <v>0</v>
      </c>
      <c r="E3687" s="11"/>
      <c r="F3687" s="9" t="s">
        <v>7</v>
      </c>
    </row>
    <row r="3688" s="1" customFormat="1" customHeight="1" spans="1:6">
      <c r="A3688" s="9" t="str">
        <f>"10530112326"</f>
        <v>10530112326</v>
      </c>
      <c r="B3688" s="10">
        <v>34.86</v>
      </c>
      <c r="C3688" s="9"/>
      <c r="D3688" s="9">
        <f t="shared" si="57"/>
        <v>34.86</v>
      </c>
      <c r="E3688" s="11"/>
      <c r="F3688" s="9"/>
    </row>
    <row r="3689" s="1" customFormat="1" customHeight="1" spans="1:6">
      <c r="A3689" s="9" t="str">
        <f>"10020112327"</f>
        <v>10020112327</v>
      </c>
      <c r="B3689" s="10">
        <v>0</v>
      </c>
      <c r="C3689" s="9"/>
      <c r="D3689" s="9">
        <f t="shared" si="57"/>
        <v>0</v>
      </c>
      <c r="E3689" s="11"/>
      <c r="F3689" s="9" t="s">
        <v>7</v>
      </c>
    </row>
    <row r="3690" s="1" customFormat="1" customHeight="1" spans="1:6">
      <c r="A3690" s="9" t="str">
        <f>"10360112328"</f>
        <v>10360112328</v>
      </c>
      <c r="B3690" s="10">
        <v>0</v>
      </c>
      <c r="C3690" s="9"/>
      <c r="D3690" s="9">
        <f t="shared" si="57"/>
        <v>0</v>
      </c>
      <c r="E3690" s="11"/>
      <c r="F3690" s="9" t="s">
        <v>7</v>
      </c>
    </row>
    <row r="3691" s="1" customFormat="1" customHeight="1" spans="1:6">
      <c r="A3691" s="9" t="str">
        <f>"10360112329"</f>
        <v>10360112329</v>
      </c>
      <c r="B3691" s="10">
        <v>44.76</v>
      </c>
      <c r="C3691" s="9"/>
      <c r="D3691" s="9">
        <f t="shared" si="57"/>
        <v>44.76</v>
      </c>
      <c r="E3691" s="11"/>
      <c r="F3691" s="9"/>
    </row>
    <row r="3692" s="1" customFormat="1" customHeight="1" spans="1:6">
      <c r="A3692" s="9" t="str">
        <f>"10360112330"</f>
        <v>10360112330</v>
      </c>
      <c r="B3692" s="10">
        <v>38.62</v>
      </c>
      <c r="C3692" s="9"/>
      <c r="D3692" s="9">
        <f t="shared" si="57"/>
        <v>38.62</v>
      </c>
      <c r="E3692" s="11"/>
      <c r="F3692" s="9"/>
    </row>
    <row r="3693" s="1" customFormat="1" customHeight="1" spans="1:6">
      <c r="A3693" s="9" t="str">
        <f>"10330112401"</f>
        <v>10330112401</v>
      </c>
      <c r="B3693" s="10">
        <v>0</v>
      </c>
      <c r="C3693" s="9"/>
      <c r="D3693" s="9">
        <f t="shared" si="57"/>
        <v>0</v>
      </c>
      <c r="E3693" s="11"/>
      <c r="F3693" s="9" t="s">
        <v>7</v>
      </c>
    </row>
    <row r="3694" s="1" customFormat="1" customHeight="1" spans="1:6">
      <c r="A3694" s="9" t="str">
        <f>"10080112402"</f>
        <v>10080112402</v>
      </c>
      <c r="B3694" s="10">
        <v>0</v>
      </c>
      <c r="C3694" s="9"/>
      <c r="D3694" s="9">
        <f t="shared" si="57"/>
        <v>0</v>
      </c>
      <c r="E3694" s="11"/>
      <c r="F3694" s="9" t="s">
        <v>7</v>
      </c>
    </row>
    <row r="3695" s="1" customFormat="1" customHeight="1" spans="1:6">
      <c r="A3695" s="9" t="str">
        <f>"10160112403"</f>
        <v>10160112403</v>
      </c>
      <c r="B3695" s="10">
        <v>40.18</v>
      </c>
      <c r="C3695" s="9"/>
      <c r="D3695" s="9">
        <f t="shared" si="57"/>
        <v>40.18</v>
      </c>
      <c r="E3695" s="11"/>
      <c r="F3695" s="9"/>
    </row>
    <row r="3696" s="1" customFormat="1" customHeight="1" spans="1:6">
      <c r="A3696" s="9" t="str">
        <f>"10440112404"</f>
        <v>10440112404</v>
      </c>
      <c r="B3696" s="10">
        <v>42.26</v>
      </c>
      <c r="C3696" s="9"/>
      <c r="D3696" s="9">
        <f t="shared" si="57"/>
        <v>42.26</v>
      </c>
      <c r="E3696" s="11"/>
      <c r="F3696" s="9"/>
    </row>
    <row r="3697" s="1" customFormat="1" customHeight="1" spans="1:6">
      <c r="A3697" s="9" t="str">
        <f>"10170112405"</f>
        <v>10170112405</v>
      </c>
      <c r="B3697" s="10">
        <v>47.76</v>
      </c>
      <c r="C3697" s="9"/>
      <c r="D3697" s="9">
        <f t="shared" si="57"/>
        <v>47.76</v>
      </c>
      <c r="E3697" s="11"/>
      <c r="F3697" s="9"/>
    </row>
    <row r="3698" s="1" customFormat="1" customHeight="1" spans="1:6">
      <c r="A3698" s="9" t="str">
        <f>"10360112406"</f>
        <v>10360112406</v>
      </c>
      <c r="B3698" s="10">
        <v>36.37</v>
      </c>
      <c r="C3698" s="9"/>
      <c r="D3698" s="9">
        <f t="shared" si="57"/>
        <v>36.37</v>
      </c>
      <c r="E3698" s="11"/>
      <c r="F3698" s="9"/>
    </row>
    <row r="3699" s="1" customFormat="1" customHeight="1" spans="1:6">
      <c r="A3699" s="9" t="str">
        <f>"10300112407"</f>
        <v>10300112407</v>
      </c>
      <c r="B3699" s="10">
        <v>45.14</v>
      </c>
      <c r="C3699" s="9"/>
      <c r="D3699" s="9">
        <f t="shared" si="57"/>
        <v>45.14</v>
      </c>
      <c r="E3699" s="11"/>
      <c r="F3699" s="9"/>
    </row>
    <row r="3700" s="1" customFormat="1" customHeight="1" spans="1:6">
      <c r="A3700" s="9" t="str">
        <f>"10300112408"</f>
        <v>10300112408</v>
      </c>
      <c r="B3700" s="10">
        <v>41.14</v>
      </c>
      <c r="C3700" s="9"/>
      <c r="D3700" s="9">
        <f t="shared" si="57"/>
        <v>41.14</v>
      </c>
      <c r="E3700" s="11"/>
      <c r="F3700" s="9"/>
    </row>
    <row r="3701" s="1" customFormat="1" customHeight="1" spans="1:6">
      <c r="A3701" s="9" t="str">
        <f>"10240112409"</f>
        <v>10240112409</v>
      </c>
      <c r="B3701" s="10">
        <v>32.07</v>
      </c>
      <c r="C3701" s="9"/>
      <c r="D3701" s="9">
        <f t="shared" si="57"/>
        <v>32.07</v>
      </c>
      <c r="E3701" s="11"/>
      <c r="F3701" s="9"/>
    </row>
    <row r="3702" s="1" customFormat="1" customHeight="1" spans="1:6">
      <c r="A3702" s="9" t="str">
        <f>"10510112410"</f>
        <v>10510112410</v>
      </c>
      <c r="B3702" s="10">
        <v>0</v>
      </c>
      <c r="C3702" s="9"/>
      <c r="D3702" s="9">
        <f t="shared" si="57"/>
        <v>0</v>
      </c>
      <c r="E3702" s="11"/>
      <c r="F3702" s="9" t="s">
        <v>7</v>
      </c>
    </row>
    <row r="3703" s="1" customFormat="1" customHeight="1" spans="1:6">
      <c r="A3703" s="9" t="str">
        <f>"10360112411"</f>
        <v>10360112411</v>
      </c>
      <c r="B3703" s="10">
        <v>0</v>
      </c>
      <c r="C3703" s="9"/>
      <c r="D3703" s="9">
        <f t="shared" si="57"/>
        <v>0</v>
      </c>
      <c r="E3703" s="11"/>
      <c r="F3703" s="9" t="s">
        <v>7</v>
      </c>
    </row>
    <row r="3704" s="1" customFormat="1" customHeight="1" spans="1:6">
      <c r="A3704" s="9" t="str">
        <f>"10360112412"</f>
        <v>10360112412</v>
      </c>
      <c r="B3704" s="10">
        <v>27.37</v>
      </c>
      <c r="C3704" s="9"/>
      <c r="D3704" s="9">
        <f t="shared" si="57"/>
        <v>27.37</v>
      </c>
      <c r="E3704" s="11"/>
      <c r="F3704" s="9"/>
    </row>
    <row r="3705" s="1" customFormat="1" customHeight="1" spans="1:6">
      <c r="A3705" s="9" t="str">
        <f>"10300112413"</f>
        <v>10300112413</v>
      </c>
      <c r="B3705" s="10">
        <v>32.13</v>
      </c>
      <c r="C3705" s="9"/>
      <c r="D3705" s="9">
        <f t="shared" si="57"/>
        <v>32.13</v>
      </c>
      <c r="E3705" s="11"/>
      <c r="F3705" s="9"/>
    </row>
    <row r="3706" s="1" customFormat="1" customHeight="1" spans="1:6">
      <c r="A3706" s="9" t="str">
        <f>"10240112414"</f>
        <v>10240112414</v>
      </c>
      <c r="B3706" s="10">
        <v>37.9</v>
      </c>
      <c r="C3706" s="9"/>
      <c r="D3706" s="9">
        <f t="shared" si="57"/>
        <v>37.9</v>
      </c>
      <c r="E3706" s="11"/>
      <c r="F3706" s="9"/>
    </row>
    <row r="3707" s="1" customFormat="1" customHeight="1" spans="1:6">
      <c r="A3707" s="9" t="str">
        <f>"10100112415"</f>
        <v>10100112415</v>
      </c>
      <c r="B3707" s="10">
        <v>0</v>
      </c>
      <c r="C3707" s="9"/>
      <c r="D3707" s="9">
        <f t="shared" si="57"/>
        <v>0</v>
      </c>
      <c r="E3707" s="11"/>
      <c r="F3707" s="9" t="s">
        <v>7</v>
      </c>
    </row>
    <row r="3708" s="1" customFormat="1" customHeight="1" spans="1:6">
      <c r="A3708" s="9" t="str">
        <f>"10150112416"</f>
        <v>10150112416</v>
      </c>
      <c r="B3708" s="10">
        <v>38.15</v>
      </c>
      <c r="C3708" s="9"/>
      <c r="D3708" s="9">
        <f t="shared" si="57"/>
        <v>38.15</v>
      </c>
      <c r="E3708" s="11"/>
      <c r="F3708" s="9"/>
    </row>
    <row r="3709" s="1" customFormat="1" customHeight="1" spans="1:6">
      <c r="A3709" s="9" t="str">
        <f>"10520112417"</f>
        <v>10520112417</v>
      </c>
      <c r="B3709" s="10">
        <v>0</v>
      </c>
      <c r="C3709" s="9"/>
      <c r="D3709" s="9">
        <f t="shared" si="57"/>
        <v>0</v>
      </c>
      <c r="E3709" s="11"/>
      <c r="F3709" s="9" t="s">
        <v>7</v>
      </c>
    </row>
    <row r="3710" s="1" customFormat="1" customHeight="1" spans="1:6">
      <c r="A3710" s="9" t="str">
        <f>"10300112418"</f>
        <v>10300112418</v>
      </c>
      <c r="B3710" s="10">
        <v>39.98</v>
      </c>
      <c r="C3710" s="9"/>
      <c r="D3710" s="9">
        <f t="shared" si="57"/>
        <v>39.98</v>
      </c>
      <c r="E3710" s="11"/>
      <c r="F3710" s="9"/>
    </row>
    <row r="3711" s="1" customFormat="1" customHeight="1" spans="1:6">
      <c r="A3711" s="9" t="str">
        <f>"10360112419"</f>
        <v>10360112419</v>
      </c>
      <c r="B3711" s="10">
        <v>35.87</v>
      </c>
      <c r="C3711" s="9"/>
      <c r="D3711" s="9">
        <f t="shared" si="57"/>
        <v>35.87</v>
      </c>
      <c r="E3711" s="11"/>
      <c r="F3711" s="9"/>
    </row>
    <row r="3712" s="1" customFormat="1" customHeight="1" spans="1:6">
      <c r="A3712" s="9" t="str">
        <f>"10370112420"</f>
        <v>10370112420</v>
      </c>
      <c r="B3712" s="10">
        <v>32.31</v>
      </c>
      <c r="C3712" s="9"/>
      <c r="D3712" s="9">
        <f t="shared" si="57"/>
        <v>32.31</v>
      </c>
      <c r="E3712" s="11"/>
      <c r="F3712" s="9"/>
    </row>
    <row r="3713" s="1" customFormat="1" customHeight="1" spans="1:6">
      <c r="A3713" s="9" t="str">
        <f>"10090112421"</f>
        <v>10090112421</v>
      </c>
      <c r="B3713" s="10">
        <v>46.8</v>
      </c>
      <c r="C3713" s="9"/>
      <c r="D3713" s="9">
        <f t="shared" si="57"/>
        <v>46.8</v>
      </c>
      <c r="E3713" s="11"/>
      <c r="F3713" s="9"/>
    </row>
    <row r="3714" s="1" customFormat="1" customHeight="1" spans="1:6">
      <c r="A3714" s="9" t="str">
        <f>"10080112422"</f>
        <v>10080112422</v>
      </c>
      <c r="B3714" s="10">
        <v>41.3</v>
      </c>
      <c r="C3714" s="9"/>
      <c r="D3714" s="9">
        <f t="shared" si="57"/>
        <v>41.3</v>
      </c>
      <c r="E3714" s="11"/>
      <c r="F3714" s="9"/>
    </row>
    <row r="3715" s="1" customFormat="1" customHeight="1" spans="1:6">
      <c r="A3715" s="9" t="str">
        <f>"10520112423"</f>
        <v>10520112423</v>
      </c>
      <c r="B3715" s="10">
        <v>47.43</v>
      </c>
      <c r="C3715" s="9"/>
      <c r="D3715" s="9">
        <f t="shared" ref="D3715:D3778" si="58">SUM(B3715:C3715)</f>
        <v>47.43</v>
      </c>
      <c r="E3715" s="11"/>
      <c r="F3715" s="9"/>
    </row>
    <row r="3716" s="1" customFormat="1" customHeight="1" spans="1:6">
      <c r="A3716" s="9" t="str">
        <f>"10200112424"</f>
        <v>10200112424</v>
      </c>
      <c r="B3716" s="10">
        <v>38.73</v>
      </c>
      <c r="C3716" s="9"/>
      <c r="D3716" s="9">
        <f t="shared" si="58"/>
        <v>38.73</v>
      </c>
      <c r="E3716" s="11"/>
      <c r="F3716" s="9"/>
    </row>
    <row r="3717" s="1" customFormat="1" customHeight="1" spans="1:6">
      <c r="A3717" s="9" t="str">
        <f>"10360112425"</f>
        <v>10360112425</v>
      </c>
      <c r="B3717" s="10">
        <v>0</v>
      </c>
      <c r="C3717" s="9"/>
      <c r="D3717" s="9">
        <f t="shared" si="58"/>
        <v>0</v>
      </c>
      <c r="E3717" s="11"/>
      <c r="F3717" s="9" t="s">
        <v>7</v>
      </c>
    </row>
    <row r="3718" s="1" customFormat="1" customHeight="1" spans="1:6">
      <c r="A3718" s="9" t="str">
        <f>"10360112426"</f>
        <v>10360112426</v>
      </c>
      <c r="B3718" s="10">
        <v>43.89</v>
      </c>
      <c r="C3718" s="9"/>
      <c r="D3718" s="9">
        <f t="shared" si="58"/>
        <v>43.89</v>
      </c>
      <c r="E3718" s="11"/>
      <c r="F3718" s="9"/>
    </row>
    <row r="3719" s="1" customFormat="1" customHeight="1" spans="1:6">
      <c r="A3719" s="9" t="str">
        <f>"10330112427"</f>
        <v>10330112427</v>
      </c>
      <c r="B3719" s="10">
        <v>46.73</v>
      </c>
      <c r="C3719" s="9"/>
      <c r="D3719" s="9">
        <f t="shared" si="58"/>
        <v>46.73</v>
      </c>
      <c r="E3719" s="11"/>
      <c r="F3719" s="9"/>
    </row>
    <row r="3720" s="1" customFormat="1" customHeight="1" spans="1:6">
      <c r="A3720" s="9" t="str">
        <f>"10140112428"</f>
        <v>10140112428</v>
      </c>
      <c r="B3720" s="10">
        <v>48.32</v>
      </c>
      <c r="C3720" s="9"/>
      <c r="D3720" s="9">
        <f t="shared" si="58"/>
        <v>48.32</v>
      </c>
      <c r="E3720" s="11"/>
      <c r="F3720" s="9"/>
    </row>
    <row r="3721" s="1" customFormat="1" customHeight="1" spans="1:6">
      <c r="A3721" s="9" t="str">
        <f>"10070112429"</f>
        <v>10070112429</v>
      </c>
      <c r="B3721" s="10">
        <v>41.66</v>
      </c>
      <c r="C3721" s="9"/>
      <c r="D3721" s="9">
        <f t="shared" si="58"/>
        <v>41.66</v>
      </c>
      <c r="E3721" s="11"/>
      <c r="F3721" s="9"/>
    </row>
    <row r="3722" s="1" customFormat="1" customHeight="1" spans="1:6">
      <c r="A3722" s="9" t="str">
        <f>"10360112430"</f>
        <v>10360112430</v>
      </c>
      <c r="B3722" s="10">
        <v>43.01</v>
      </c>
      <c r="C3722" s="9"/>
      <c r="D3722" s="9">
        <f t="shared" si="58"/>
        <v>43.01</v>
      </c>
      <c r="E3722" s="11"/>
      <c r="F3722" s="9"/>
    </row>
    <row r="3723" s="1" customFormat="1" customHeight="1" spans="1:6">
      <c r="A3723" s="9" t="str">
        <f>"10230112501"</f>
        <v>10230112501</v>
      </c>
      <c r="B3723" s="10">
        <v>46.92</v>
      </c>
      <c r="C3723" s="9"/>
      <c r="D3723" s="9">
        <f t="shared" si="58"/>
        <v>46.92</v>
      </c>
      <c r="E3723" s="11"/>
      <c r="F3723" s="9"/>
    </row>
    <row r="3724" s="1" customFormat="1" customHeight="1" spans="1:6">
      <c r="A3724" s="9" t="str">
        <f>"10060112502"</f>
        <v>10060112502</v>
      </c>
      <c r="B3724" s="10">
        <v>41.38</v>
      </c>
      <c r="C3724" s="9"/>
      <c r="D3724" s="9">
        <f t="shared" si="58"/>
        <v>41.38</v>
      </c>
      <c r="E3724" s="11"/>
      <c r="F3724" s="9"/>
    </row>
    <row r="3725" s="1" customFormat="1" customHeight="1" spans="1:6">
      <c r="A3725" s="9" t="str">
        <f>"10360112503"</f>
        <v>10360112503</v>
      </c>
      <c r="B3725" s="10">
        <v>34.85</v>
      </c>
      <c r="C3725" s="9"/>
      <c r="D3725" s="9">
        <f t="shared" si="58"/>
        <v>34.85</v>
      </c>
      <c r="E3725" s="11"/>
      <c r="F3725" s="9"/>
    </row>
    <row r="3726" s="1" customFormat="1" customHeight="1" spans="1:6">
      <c r="A3726" s="9" t="str">
        <f>"10170112504"</f>
        <v>10170112504</v>
      </c>
      <c r="B3726" s="10">
        <v>37.45</v>
      </c>
      <c r="C3726" s="9"/>
      <c r="D3726" s="9">
        <f t="shared" si="58"/>
        <v>37.45</v>
      </c>
      <c r="E3726" s="11"/>
      <c r="F3726" s="9"/>
    </row>
    <row r="3727" s="1" customFormat="1" customHeight="1" spans="1:6">
      <c r="A3727" s="9" t="str">
        <f>"10360112505"</f>
        <v>10360112505</v>
      </c>
      <c r="B3727" s="10">
        <v>35.2</v>
      </c>
      <c r="C3727" s="9"/>
      <c r="D3727" s="9">
        <f t="shared" si="58"/>
        <v>35.2</v>
      </c>
      <c r="E3727" s="11"/>
      <c r="F3727" s="9"/>
    </row>
    <row r="3728" s="1" customFormat="1" customHeight="1" spans="1:6">
      <c r="A3728" s="9" t="str">
        <f>"10230112506"</f>
        <v>10230112506</v>
      </c>
      <c r="B3728" s="10">
        <v>40.31</v>
      </c>
      <c r="C3728" s="9"/>
      <c r="D3728" s="9">
        <f t="shared" si="58"/>
        <v>40.31</v>
      </c>
      <c r="E3728" s="11"/>
      <c r="F3728" s="9"/>
    </row>
    <row r="3729" s="1" customFormat="1" customHeight="1" spans="1:6">
      <c r="A3729" s="9" t="str">
        <f>"10530112507"</f>
        <v>10530112507</v>
      </c>
      <c r="B3729" s="10">
        <v>36.01</v>
      </c>
      <c r="C3729" s="9"/>
      <c r="D3729" s="9">
        <f t="shared" si="58"/>
        <v>36.01</v>
      </c>
      <c r="E3729" s="11"/>
      <c r="F3729" s="9"/>
    </row>
    <row r="3730" s="1" customFormat="1" customHeight="1" spans="1:6">
      <c r="A3730" s="9" t="str">
        <f>"10190112508"</f>
        <v>10190112508</v>
      </c>
      <c r="B3730" s="10">
        <v>0</v>
      </c>
      <c r="C3730" s="9"/>
      <c r="D3730" s="9">
        <f t="shared" si="58"/>
        <v>0</v>
      </c>
      <c r="E3730" s="11"/>
      <c r="F3730" s="9" t="s">
        <v>7</v>
      </c>
    </row>
    <row r="3731" s="1" customFormat="1" customHeight="1" spans="1:6">
      <c r="A3731" s="9" t="str">
        <f>"10500112509"</f>
        <v>10500112509</v>
      </c>
      <c r="B3731" s="10">
        <v>36.58</v>
      </c>
      <c r="C3731" s="9"/>
      <c r="D3731" s="9">
        <f t="shared" si="58"/>
        <v>36.58</v>
      </c>
      <c r="E3731" s="11"/>
      <c r="F3731" s="9"/>
    </row>
    <row r="3732" s="1" customFormat="1" customHeight="1" spans="1:6">
      <c r="A3732" s="9" t="str">
        <f>"10070112510"</f>
        <v>10070112510</v>
      </c>
      <c r="B3732" s="10">
        <v>50.43</v>
      </c>
      <c r="C3732" s="9"/>
      <c r="D3732" s="9">
        <f t="shared" si="58"/>
        <v>50.43</v>
      </c>
      <c r="E3732" s="11"/>
      <c r="F3732" s="9"/>
    </row>
    <row r="3733" s="1" customFormat="1" customHeight="1" spans="1:6">
      <c r="A3733" s="9" t="str">
        <f>"10380112511"</f>
        <v>10380112511</v>
      </c>
      <c r="B3733" s="10">
        <v>0</v>
      </c>
      <c r="C3733" s="9"/>
      <c r="D3733" s="9">
        <f t="shared" si="58"/>
        <v>0</v>
      </c>
      <c r="E3733" s="11"/>
      <c r="F3733" s="9" t="s">
        <v>7</v>
      </c>
    </row>
    <row r="3734" s="1" customFormat="1" customHeight="1" spans="1:6">
      <c r="A3734" s="9" t="str">
        <f>"10530112512"</f>
        <v>10530112512</v>
      </c>
      <c r="B3734" s="10">
        <v>28.73</v>
      </c>
      <c r="C3734" s="9"/>
      <c r="D3734" s="9">
        <f t="shared" si="58"/>
        <v>28.73</v>
      </c>
      <c r="E3734" s="11"/>
      <c r="F3734" s="9"/>
    </row>
    <row r="3735" s="1" customFormat="1" customHeight="1" spans="1:6">
      <c r="A3735" s="9" t="str">
        <f>"10010112513"</f>
        <v>10010112513</v>
      </c>
      <c r="B3735" s="10">
        <v>33.29</v>
      </c>
      <c r="C3735" s="9"/>
      <c r="D3735" s="9">
        <f t="shared" si="58"/>
        <v>33.29</v>
      </c>
      <c r="E3735" s="11"/>
      <c r="F3735" s="9"/>
    </row>
    <row r="3736" s="1" customFormat="1" customHeight="1" spans="1:6">
      <c r="A3736" s="9" t="str">
        <f>"10060112514"</f>
        <v>10060112514</v>
      </c>
      <c r="B3736" s="10">
        <v>0</v>
      </c>
      <c r="C3736" s="9"/>
      <c r="D3736" s="9">
        <f t="shared" si="58"/>
        <v>0</v>
      </c>
      <c r="E3736" s="11"/>
      <c r="F3736" s="9" t="s">
        <v>7</v>
      </c>
    </row>
    <row r="3737" s="1" customFormat="1" customHeight="1" spans="1:6">
      <c r="A3737" s="9" t="str">
        <f>"10360112515"</f>
        <v>10360112515</v>
      </c>
      <c r="B3737" s="10">
        <v>0</v>
      </c>
      <c r="C3737" s="9"/>
      <c r="D3737" s="9">
        <f t="shared" si="58"/>
        <v>0</v>
      </c>
      <c r="E3737" s="11"/>
      <c r="F3737" s="9" t="s">
        <v>7</v>
      </c>
    </row>
    <row r="3738" s="1" customFormat="1" customHeight="1" spans="1:6">
      <c r="A3738" s="9" t="str">
        <f>"10290112516"</f>
        <v>10290112516</v>
      </c>
      <c r="B3738" s="10">
        <v>44.16</v>
      </c>
      <c r="C3738" s="9"/>
      <c r="D3738" s="9">
        <f t="shared" si="58"/>
        <v>44.16</v>
      </c>
      <c r="E3738" s="11"/>
      <c r="F3738" s="9"/>
    </row>
    <row r="3739" s="1" customFormat="1" customHeight="1" spans="1:6">
      <c r="A3739" s="9" t="str">
        <f>"10360112517"</f>
        <v>10360112517</v>
      </c>
      <c r="B3739" s="10">
        <v>37.98</v>
      </c>
      <c r="C3739" s="9"/>
      <c r="D3739" s="9">
        <f t="shared" si="58"/>
        <v>37.98</v>
      </c>
      <c r="E3739" s="11"/>
      <c r="F3739" s="9"/>
    </row>
    <row r="3740" s="1" customFormat="1" customHeight="1" spans="1:6">
      <c r="A3740" s="9" t="str">
        <f>"10120112518"</f>
        <v>10120112518</v>
      </c>
      <c r="B3740" s="10">
        <v>46.51</v>
      </c>
      <c r="C3740" s="9"/>
      <c r="D3740" s="9">
        <f t="shared" si="58"/>
        <v>46.51</v>
      </c>
      <c r="E3740" s="11"/>
      <c r="F3740" s="9"/>
    </row>
    <row r="3741" s="1" customFormat="1" customHeight="1" spans="1:6">
      <c r="A3741" s="9" t="str">
        <f>"10360112519"</f>
        <v>10360112519</v>
      </c>
      <c r="B3741" s="10">
        <v>43.64</v>
      </c>
      <c r="C3741" s="9"/>
      <c r="D3741" s="9">
        <f t="shared" si="58"/>
        <v>43.64</v>
      </c>
      <c r="E3741" s="11"/>
      <c r="F3741" s="9"/>
    </row>
    <row r="3742" s="1" customFormat="1" customHeight="1" spans="1:6">
      <c r="A3742" s="9" t="str">
        <f>"10130112520"</f>
        <v>10130112520</v>
      </c>
      <c r="B3742" s="10">
        <v>40.82</v>
      </c>
      <c r="C3742" s="9"/>
      <c r="D3742" s="9">
        <f t="shared" si="58"/>
        <v>40.82</v>
      </c>
      <c r="E3742" s="11"/>
      <c r="F3742" s="9"/>
    </row>
    <row r="3743" s="1" customFormat="1" customHeight="1" spans="1:6">
      <c r="A3743" s="9" t="str">
        <f>"10510112521"</f>
        <v>10510112521</v>
      </c>
      <c r="B3743" s="10">
        <v>0</v>
      </c>
      <c r="C3743" s="9"/>
      <c r="D3743" s="9">
        <f t="shared" si="58"/>
        <v>0</v>
      </c>
      <c r="E3743" s="11"/>
      <c r="F3743" s="9" t="s">
        <v>7</v>
      </c>
    </row>
    <row r="3744" s="1" customFormat="1" customHeight="1" spans="1:6">
      <c r="A3744" s="9" t="str">
        <f>"10110112522"</f>
        <v>10110112522</v>
      </c>
      <c r="B3744" s="10">
        <v>64.93</v>
      </c>
      <c r="C3744" s="9"/>
      <c r="D3744" s="9">
        <f t="shared" si="58"/>
        <v>64.93</v>
      </c>
      <c r="E3744" s="11"/>
      <c r="F3744" s="9"/>
    </row>
    <row r="3745" s="1" customFormat="1" customHeight="1" spans="1:6">
      <c r="A3745" s="9" t="str">
        <f>"10020112523"</f>
        <v>10020112523</v>
      </c>
      <c r="B3745" s="10">
        <v>41.12</v>
      </c>
      <c r="C3745" s="9"/>
      <c r="D3745" s="9">
        <f t="shared" si="58"/>
        <v>41.12</v>
      </c>
      <c r="E3745" s="11"/>
      <c r="F3745" s="9"/>
    </row>
    <row r="3746" s="1" customFormat="1" customHeight="1" spans="1:6">
      <c r="A3746" s="9" t="str">
        <f>"10450112524"</f>
        <v>10450112524</v>
      </c>
      <c r="B3746" s="10">
        <v>37.77</v>
      </c>
      <c r="C3746" s="9"/>
      <c r="D3746" s="9">
        <f t="shared" si="58"/>
        <v>37.77</v>
      </c>
      <c r="E3746" s="11"/>
      <c r="F3746" s="9"/>
    </row>
    <row r="3747" s="1" customFormat="1" customHeight="1" spans="1:6">
      <c r="A3747" s="9" t="str">
        <f>"10490112525"</f>
        <v>10490112525</v>
      </c>
      <c r="B3747" s="10">
        <v>40.88</v>
      </c>
      <c r="C3747" s="9"/>
      <c r="D3747" s="9">
        <f t="shared" si="58"/>
        <v>40.88</v>
      </c>
      <c r="E3747" s="11"/>
      <c r="F3747" s="9"/>
    </row>
    <row r="3748" s="1" customFormat="1" customHeight="1" spans="1:6">
      <c r="A3748" s="9" t="str">
        <f>"10130112526"</f>
        <v>10130112526</v>
      </c>
      <c r="B3748" s="10">
        <v>52.01</v>
      </c>
      <c r="C3748" s="9"/>
      <c r="D3748" s="9">
        <f t="shared" si="58"/>
        <v>52.01</v>
      </c>
      <c r="E3748" s="11"/>
      <c r="F3748" s="9"/>
    </row>
    <row r="3749" s="1" customFormat="1" customHeight="1" spans="1:6">
      <c r="A3749" s="9" t="str">
        <f>"10170112527"</f>
        <v>10170112527</v>
      </c>
      <c r="B3749" s="10">
        <v>41.12</v>
      </c>
      <c r="C3749" s="9"/>
      <c r="D3749" s="9">
        <f t="shared" si="58"/>
        <v>41.12</v>
      </c>
      <c r="E3749" s="11"/>
      <c r="F3749" s="9"/>
    </row>
    <row r="3750" s="1" customFormat="1" customHeight="1" spans="1:6">
      <c r="A3750" s="9" t="str">
        <f>"10300112528"</f>
        <v>10300112528</v>
      </c>
      <c r="B3750" s="10">
        <v>35.49</v>
      </c>
      <c r="C3750" s="9"/>
      <c r="D3750" s="9">
        <f t="shared" si="58"/>
        <v>35.49</v>
      </c>
      <c r="E3750" s="11"/>
      <c r="F3750" s="9"/>
    </row>
    <row r="3751" s="1" customFormat="1" customHeight="1" spans="1:6">
      <c r="A3751" s="9" t="str">
        <f>"10080112529"</f>
        <v>10080112529</v>
      </c>
      <c r="B3751" s="10">
        <v>38.69</v>
      </c>
      <c r="C3751" s="9"/>
      <c r="D3751" s="9">
        <f t="shared" si="58"/>
        <v>38.69</v>
      </c>
      <c r="E3751" s="11"/>
      <c r="F3751" s="9"/>
    </row>
    <row r="3752" s="1" customFormat="1" customHeight="1" spans="1:6">
      <c r="A3752" s="9" t="str">
        <f>"10530112530"</f>
        <v>10530112530</v>
      </c>
      <c r="B3752" s="10">
        <v>0</v>
      </c>
      <c r="C3752" s="9"/>
      <c r="D3752" s="9">
        <f t="shared" si="58"/>
        <v>0</v>
      </c>
      <c r="E3752" s="11"/>
      <c r="F3752" s="9" t="s">
        <v>7</v>
      </c>
    </row>
    <row r="3753" s="1" customFormat="1" customHeight="1" spans="1:6">
      <c r="A3753" s="9" t="str">
        <f>"10130112601"</f>
        <v>10130112601</v>
      </c>
      <c r="B3753" s="10">
        <v>0</v>
      </c>
      <c r="C3753" s="9"/>
      <c r="D3753" s="9">
        <f t="shared" si="58"/>
        <v>0</v>
      </c>
      <c r="E3753" s="11"/>
      <c r="F3753" s="9" t="s">
        <v>7</v>
      </c>
    </row>
    <row r="3754" s="1" customFormat="1" customHeight="1" spans="1:6">
      <c r="A3754" s="9" t="str">
        <f>"10440112602"</f>
        <v>10440112602</v>
      </c>
      <c r="B3754" s="10">
        <v>44.89</v>
      </c>
      <c r="C3754" s="9"/>
      <c r="D3754" s="9">
        <f t="shared" si="58"/>
        <v>44.89</v>
      </c>
      <c r="E3754" s="11"/>
      <c r="F3754" s="9"/>
    </row>
    <row r="3755" s="1" customFormat="1" customHeight="1" spans="1:6">
      <c r="A3755" s="9" t="str">
        <f>"10060112603"</f>
        <v>10060112603</v>
      </c>
      <c r="B3755" s="10">
        <v>35.54</v>
      </c>
      <c r="C3755" s="9"/>
      <c r="D3755" s="9">
        <f t="shared" si="58"/>
        <v>35.54</v>
      </c>
      <c r="E3755" s="11"/>
      <c r="F3755" s="9"/>
    </row>
    <row r="3756" s="1" customFormat="1" customHeight="1" spans="1:6">
      <c r="A3756" s="9" t="str">
        <f>"10210112604"</f>
        <v>10210112604</v>
      </c>
      <c r="B3756" s="10">
        <v>0</v>
      </c>
      <c r="C3756" s="9"/>
      <c r="D3756" s="9">
        <f t="shared" si="58"/>
        <v>0</v>
      </c>
      <c r="E3756" s="11"/>
      <c r="F3756" s="9" t="s">
        <v>7</v>
      </c>
    </row>
    <row r="3757" s="1" customFormat="1" customHeight="1" spans="1:6">
      <c r="A3757" s="9" t="str">
        <f>"10060112605"</f>
        <v>10060112605</v>
      </c>
      <c r="B3757" s="10">
        <v>45.13</v>
      </c>
      <c r="C3757" s="9"/>
      <c r="D3757" s="9">
        <f t="shared" si="58"/>
        <v>45.13</v>
      </c>
      <c r="E3757" s="11"/>
      <c r="F3757" s="9"/>
    </row>
    <row r="3758" s="1" customFormat="1" customHeight="1" spans="1:6">
      <c r="A3758" s="9" t="str">
        <f>"10210112606"</f>
        <v>10210112606</v>
      </c>
      <c r="B3758" s="10">
        <v>36.31</v>
      </c>
      <c r="C3758" s="9"/>
      <c r="D3758" s="9">
        <f t="shared" si="58"/>
        <v>36.31</v>
      </c>
      <c r="E3758" s="11"/>
      <c r="F3758" s="9"/>
    </row>
    <row r="3759" s="1" customFormat="1" customHeight="1" spans="1:6">
      <c r="A3759" s="9" t="str">
        <f>"10470112607"</f>
        <v>10470112607</v>
      </c>
      <c r="B3759" s="10">
        <v>41.55</v>
      </c>
      <c r="C3759" s="9"/>
      <c r="D3759" s="9">
        <f t="shared" si="58"/>
        <v>41.55</v>
      </c>
      <c r="E3759" s="11"/>
      <c r="F3759" s="9"/>
    </row>
    <row r="3760" s="1" customFormat="1" customHeight="1" spans="1:6">
      <c r="A3760" s="9" t="str">
        <f>"10260112608"</f>
        <v>10260112608</v>
      </c>
      <c r="B3760" s="10">
        <v>50.46</v>
      </c>
      <c r="C3760" s="9"/>
      <c r="D3760" s="9">
        <f t="shared" si="58"/>
        <v>50.46</v>
      </c>
      <c r="E3760" s="11"/>
      <c r="F3760" s="9"/>
    </row>
    <row r="3761" s="1" customFormat="1" customHeight="1" spans="1:6">
      <c r="A3761" s="9" t="str">
        <f>"10170112609"</f>
        <v>10170112609</v>
      </c>
      <c r="B3761" s="10">
        <v>39.57</v>
      </c>
      <c r="C3761" s="9"/>
      <c r="D3761" s="9">
        <f t="shared" si="58"/>
        <v>39.57</v>
      </c>
      <c r="E3761" s="11"/>
      <c r="F3761" s="9"/>
    </row>
    <row r="3762" s="1" customFormat="1" customHeight="1" spans="1:6">
      <c r="A3762" s="9" t="str">
        <f>"10080112610"</f>
        <v>10080112610</v>
      </c>
      <c r="B3762" s="10">
        <v>37.46</v>
      </c>
      <c r="C3762" s="9"/>
      <c r="D3762" s="9">
        <f t="shared" si="58"/>
        <v>37.46</v>
      </c>
      <c r="E3762" s="11"/>
      <c r="F3762" s="9"/>
    </row>
    <row r="3763" s="1" customFormat="1" customHeight="1" spans="1:6">
      <c r="A3763" s="9" t="str">
        <f>"10060112611"</f>
        <v>10060112611</v>
      </c>
      <c r="B3763" s="10">
        <v>0</v>
      </c>
      <c r="C3763" s="9"/>
      <c r="D3763" s="9">
        <f t="shared" si="58"/>
        <v>0</v>
      </c>
      <c r="E3763" s="11"/>
      <c r="F3763" s="9" t="s">
        <v>7</v>
      </c>
    </row>
    <row r="3764" s="1" customFormat="1" customHeight="1" spans="1:6">
      <c r="A3764" s="9" t="str">
        <f>"10140112612"</f>
        <v>10140112612</v>
      </c>
      <c r="B3764" s="10">
        <v>42.76</v>
      </c>
      <c r="C3764" s="9"/>
      <c r="D3764" s="9">
        <f t="shared" si="58"/>
        <v>42.76</v>
      </c>
      <c r="E3764" s="11"/>
      <c r="F3764" s="9"/>
    </row>
    <row r="3765" s="1" customFormat="1" customHeight="1" spans="1:6">
      <c r="A3765" s="9" t="str">
        <f>"10170112613"</f>
        <v>10170112613</v>
      </c>
      <c r="B3765" s="10">
        <v>46.25</v>
      </c>
      <c r="C3765" s="9"/>
      <c r="D3765" s="9">
        <f t="shared" si="58"/>
        <v>46.25</v>
      </c>
      <c r="E3765" s="11"/>
      <c r="F3765" s="9"/>
    </row>
    <row r="3766" s="1" customFormat="1" customHeight="1" spans="1:6">
      <c r="A3766" s="9" t="str">
        <f>"10370112614"</f>
        <v>10370112614</v>
      </c>
      <c r="B3766" s="10">
        <v>0</v>
      </c>
      <c r="C3766" s="9"/>
      <c r="D3766" s="9">
        <f t="shared" si="58"/>
        <v>0</v>
      </c>
      <c r="E3766" s="11"/>
      <c r="F3766" s="9" t="s">
        <v>7</v>
      </c>
    </row>
    <row r="3767" s="1" customFormat="1" customHeight="1" spans="1:6">
      <c r="A3767" s="9" t="str">
        <f>"10210112615"</f>
        <v>10210112615</v>
      </c>
      <c r="B3767" s="10">
        <v>45.89</v>
      </c>
      <c r="C3767" s="9"/>
      <c r="D3767" s="9">
        <f t="shared" si="58"/>
        <v>45.89</v>
      </c>
      <c r="E3767" s="11"/>
      <c r="F3767" s="9"/>
    </row>
    <row r="3768" s="1" customFormat="1" customHeight="1" spans="1:6">
      <c r="A3768" s="9" t="str">
        <f>"10010112616"</f>
        <v>10010112616</v>
      </c>
      <c r="B3768" s="10">
        <v>36.81</v>
      </c>
      <c r="C3768" s="9"/>
      <c r="D3768" s="9">
        <f t="shared" si="58"/>
        <v>36.81</v>
      </c>
      <c r="E3768" s="11"/>
      <c r="F3768" s="9"/>
    </row>
    <row r="3769" s="1" customFormat="1" customHeight="1" spans="1:6">
      <c r="A3769" s="9" t="str">
        <f>"10360112617"</f>
        <v>10360112617</v>
      </c>
      <c r="B3769" s="10">
        <v>36.15</v>
      </c>
      <c r="C3769" s="9"/>
      <c r="D3769" s="9">
        <f t="shared" si="58"/>
        <v>36.15</v>
      </c>
      <c r="E3769" s="11"/>
      <c r="F3769" s="9"/>
    </row>
    <row r="3770" s="1" customFormat="1" customHeight="1" spans="1:6">
      <c r="A3770" s="9" t="str">
        <f>"10210112618"</f>
        <v>10210112618</v>
      </c>
      <c r="B3770" s="10">
        <v>38.97</v>
      </c>
      <c r="C3770" s="9"/>
      <c r="D3770" s="9">
        <f t="shared" si="58"/>
        <v>38.97</v>
      </c>
      <c r="E3770" s="11"/>
      <c r="F3770" s="9"/>
    </row>
    <row r="3771" s="1" customFormat="1" customHeight="1" spans="1:6">
      <c r="A3771" s="9" t="str">
        <f>"10300112619"</f>
        <v>10300112619</v>
      </c>
      <c r="B3771" s="10">
        <v>33.42</v>
      </c>
      <c r="C3771" s="9"/>
      <c r="D3771" s="9">
        <f t="shared" si="58"/>
        <v>33.42</v>
      </c>
      <c r="E3771" s="11"/>
      <c r="F3771" s="9"/>
    </row>
    <row r="3772" s="1" customFormat="1" customHeight="1" spans="1:6">
      <c r="A3772" s="9" t="str">
        <f>"10240112620"</f>
        <v>10240112620</v>
      </c>
      <c r="B3772" s="10">
        <v>43.26</v>
      </c>
      <c r="C3772" s="9"/>
      <c r="D3772" s="9">
        <f t="shared" si="58"/>
        <v>43.26</v>
      </c>
      <c r="E3772" s="11"/>
      <c r="F3772" s="9"/>
    </row>
    <row r="3773" s="1" customFormat="1" customHeight="1" spans="1:6">
      <c r="A3773" s="9" t="str">
        <f>"10130112621"</f>
        <v>10130112621</v>
      </c>
      <c r="B3773" s="10">
        <v>50.03</v>
      </c>
      <c r="C3773" s="9"/>
      <c r="D3773" s="9">
        <f t="shared" si="58"/>
        <v>50.03</v>
      </c>
      <c r="E3773" s="11"/>
      <c r="F3773" s="9"/>
    </row>
    <row r="3774" s="1" customFormat="1" customHeight="1" spans="1:6">
      <c r="A3774" s="9" t="str">
        <f>"10360112622"</f>
        <v>10360112622</v>
      </c>
      <c r="B3774" s="10">
        <v>43.02</v>
      </c>
      <c r="C3774" s="9"/>
      <c r="D3774" s="9">
        <f t="shared" si="58"/>
        <v>43.02</v>
      </c>
      <c r="E3774" s="11"/>
      <c r="F3774" s="9"/>
    </row>
    <row r="3775" s="1" customFormat="1" customHeight="1" spans="1:6">
      <c r="A3775" s="9" t="str">
        <f>"10360112623"</f>
        <v>10360112623</v>
      </c>
      <c r="B3775" s="10">
        <v>43.78</v>
      </c>
      <c r="C3775" s="9"/>
      <c r="D3775" s="9">
        <f t="shared" si="58"/>
        <v>43.78</v>
      </c>
      <c r="E3775" s="11"/>
      <c r="F3775" s="9"/>
    </row>
    <row r="3776" s="1" customFormat="1" customHeight="1" spans="1:6">
      <c r="A3776" s="9" t="str">
        <f>"10490112624"</f>
        <v>10490112624</v>
      </c>
      <c r="B3776" s="10">
        <v>34.68</v>
      </c>
      <c r="C3776" s="9">
        <v>10</v>
      </c>
      <c r="D3776" s="9">
        <f t="shared" si="58"/>
        <v>44.68</v>
      </c>
      <c r="E3776" s="12" t="s">
        <v>8</v>
      </c>
      <c r="F3776" s="9"/>
    </row>
    <row r="3777" s="1" customFormat="1" customHeight="1" spans="1:6">
      <c r="A3777" s="9" t="str">
        <f>"10130112625"</f>
        <v>10130112625</v>
      </c>
      <c r="B3777" s="10">
        <v>0</v>
      </c>
      <c r="C3777" s="9"/>
      <c r="D3777" s="9">
        <f t="shared" si="58"/>
        <v>0</v>
      </c>
      <c r="E3777" s="11"/>
      <c r="F3777" s="9" t="s">
        <v>7</v>
      </c>
    </row>
    <row r="3778" s="1" customFormat="1" customHeight="1" spans="1:6">
      <c r="A3778" s="9" t="str">
        <f>"10360112626"</f>
        <v>10360112626</v>
      </c>
      <c r="B3778" s="10">
        <v>39.56</v>
      </c>
      <c r="C3778" s="9"/>
      <c r="D3778" s="9">
        <f t="shared" si="58"/>
        <v>39.56</v>
      </c>
      <c r="E3778" s="11"/>
      <c r="F3778" s="9"/>
    </row>
    <row r="3779" s="1" customFormat="1" customHeight="1" spans="1:6">
      <c r="A3779" s="9" t="str">
        <f>"10280112627"</f>
        <v>10280112627</v>
      </c>
      <c r="B3779" s="10">
        <v>0</v>
      </c>
      <c r="C3779" s="9"/>
      <c r="D3779" s="9">
        <f t="shared" ref="D3779:D3842" si="59">SUM(B3779:C3779)</f>
        <v>0</v>
      </c>
      <c r="E3779" s="11"/>
      <c r="F3779" s="9" t="s">
        <v>7</v>
      </c>
    </row>
    <row r="3780" s="1" customFormat="1" customHeight="1" spans="1:6">
      <c r="A3780" s="9" t="str">
        <f>"10110112628"</f>
        <v>10110112628</v>
      </c>
      <c r="B3780" s="10">
        <v>0</v>
      </c>
      <c r="C3780" s="9"/>
      <c r="D3780" s="9">
        <f t="shared" si="59"/>
        <v>0</v>
      </c>
      <c r="E3780" s="11"/>
      <c r="F3780" s="9" t="s">
        <v>7</v>
      </c>
    </row>
    <row r="3781" s="1" customFormat="1" customHeight="1" spans="1:6">
      <c r="A3781" s="9" t="str">
        <f>"10160112629"</f>
        <v>10160112629</v>
      </c>
      <c r="B3781" s="10">
        <v>46.09</v>
      </c>
      <c r="C3781" s="9"/>
      <c r="D3781" s="9">
        <f t="shared" si="59"/>
        <v>46.09</v>
      </c>
      <c r="E3781" s="11"/>
      <c r="F3781" s="9"/>
    </row>
    <row r="3782" s="1" customFormat="1" customHeight="1" spans="1:6">
      <c r="A3782" s="9" t="str">
        <f>"10330112630"</f>
        <v>10330112630</v>
      </c>
      <c r="B3782" s="10">
        <v>42.78</v>
      </c>
      <c r="C3782" s="9"/>
      <c r="D3782" s="9">
        <f t="shared" si="59"/>
        <v>42.78</v>
      </c>
      <c r="E3782" s="11"/>
      <c r="F3782" s="9"/>
    </row>
    <row r="3783" s="1" customFormat="1" customHeight="1" spans="1:6">
      <c r="A3783" s="9" t="str">
        <f>"10360112701"</f>
        <v>10360112701</v>
      </c>
      <c r="B3783" s="10">
        <v>40.89</v>
      </c>
      <c r="C3783" s="9"/>
      <c r="D3783" s="9">
        <f t="shared" si="59"/>
        <v>40.89</v>
      </c>
      <c r="E3783" s="11"/>
      <c r="F3783" s="9"/>
    </row>
    <row r="3784" s="1" customFormat="1" customHeight="1" spans="1:6">
      <c r="A3784" s="9" t="str">
        <f>"10290112702"</f>
        <v>10290112702</v>
      </c>
      <c r="B3784" s="10">
        <v>0</v>
      </c>
      <c r="C3784" s="9"/>
      <c r="D3784" s="9">
        <f t="shared" si="59"/>
        <v>0</v>
      </c>
      <c r="E3784" s="11"/>
      <c r="F3784" s="9" t="s">
        <v>7</v>
      </c>
    </row>
    <row r="3785" s="1" customFormat="1" customHeight="1" spans="1:6">
      <c r="A3785" s="9" t="str">
        <f>"10440112703"</f>
        <v>10440112703</v>
      </c>
      <c r="B3785" s="10">
        <v>47.95</v>
      </c>
      <c r="C3785" s="9"/>
      <c r="D3785" s="9">
        <f t="shared" si="59"/>
        <v>47.95</v>
      </c>
      <c r="E3785" s="11"/>
      <c r="F3785" s="9"/>
    </row>
    <row r="3786" s="1" customFormat="1" customHeight="1" spans="1:6">
      <c r="A3786" s="9" t="str">
        <f>"10290112704"</f>
        <v>10290112704</v>
      </c>
      <c r="B3786" s="10">
        <v>42.76</v>
      </c>
      <c r="C3786" s="9"/>
      <c r="D3786" s="9">
        <f t="shared" si="59"/>
        <v>42.76</v>
      </c>
      <c r="E3786" s="11"/>
      <c r="F3786" s="9"/>
    </row>
    <row r="3787" s="1" customFormat="1" customHeight="1" spans="1:6">
      <c r="A3787" s="9" t="str">
        <f>"10530112705"</f>
        <v>10530112705</v>
      </c>
      <c r="B3787" s="10">
        <v>48.62</v>
      </c>
      <c r="C3787" s="9"/>
      <c r="D3787" s="9">
        <f t="shared" si="59"/>
        <v>48.62</v>
      </c>
      <c r="E3787" s="11"/>
      <c r="F3787" s="9"/>
    </row>
    <row r="3788" s="1" customFormat="1" customHeight="1" spans="1:6">
      <c r="A3788" s="9" t="str">
        <f>"10360112706"</f>
        <v>10360112706</v>
      </c>
      <c r="B3788" s="10">
        <v>0</v>
      </c>
      <c r="C3788" s="9"/>
      <c r="D3788" s="9">
        <f t="shared" si="59"/>
        <v>0</v>
      </c>
      <c r="E3788" s="11"/>
      <c r="F3788" s="9" t="s">
        <v>7</v>
      </c>
    </row>
    <row r="3789" s="1" customFormat="1" customHeight="1" spans="1:6">
      <c r="A3789" s="9" t="str">
        <f>"10360112707"</f>
        <v>10360112707</v>
      </c>
      <c r="B3789" s="10">
        <v>44.06</v>
      </c>
      <c r="C3789" s="9"/>
      <c r="D3789" s="9">
        <f t="shared" si="59"/>
        <v>44.06</v>
      </c>
      <c r="E3789" s="11"/>
      <c r="F3789" s="9"/>
    </row>
    <row r="3790" s="1" customFormat="1" customHeight="1" spans="1:6">
      <c r="A3790" s="9" t="str">
        <f>"10330112708"</f>
        <v>10330112708</v>
      </c>
      <c r="B3790" s="10">
        <v>37.47</v>
      </c>
      <c r="C3790" s="9"/>
      <c r="D3790" s="9">
        <f t="shared" si="59"/>
        <v>37.47</v>
      </c>
      <c r="E3790" s="11"/>
      <c r="F3790" s="9"/>
    </row>
    <row r="3791" s="1" customFormat="1" customHeight="1" spans="1:6">
      <c r="A3791" s="9" t="str">
        <f>"10070112709"</f>
        <v>10070112709</v>
      </c>
      <c r="B3791" s="10">
        <v>45.22</v>
      </c>
      <c r="C3791" s="9"/>
      <c r="D3791" s="9">
        <f t="shared" si="59"/>
        <v>45.22</v>
      </c>
      <c r="E3791" s="11"/>
      <c r="F3791" s="9"/>
    </row>
    <row r="3792" s="1" customFormat="1" customHeight="1" spans="1:6">
      <c r="A3792" s="9" t="str">
        <f>"10080112710"</f>
        <v>10080112710</v>
      </c>
      <c r="B3792" s="10">
        <v>0</v>
      </c>
      <c r="C3792" s="9"/>
      <c r="D3792" s="9">
        <f t="shared" si="59"/>
        <v>0</v>
      </c>
      <c r="E3792" s="11"/>
      <c r="F3792" s="9" t="s">
        <v>7</v>
      </c>
    </row>
    <row r="3793" s="1" customFormat="1" customHeight="1" spans="1:6">
      <c r="A3793" s="9" t="str">
        <f>"10130112711"</f>
        <v>10130112711</v>
      </c>
      <c r="B3793" s="10">
        <v>42.66</v>
      </c>
      <c r="C3793" s="9"/>
      <c r="D3793" s="9">
        <f t="shared" si="59"/>
        <v>42.66</v>
      </c>
      <c r="E3793" s="11"/>
      <c r="F3793" s="9"/>
    </row>
    <row r="3794" s="1" customFormat="1" customHeight="1" spans="1:6">
      <c r="A3794" s="9" t="str">
        <f>"10100112712"</f>
        <v>10100112712</v>
      </c>
      <c r="B3794" s="10">
        <v>0</v>
      </c>
      <c r="C3794" s="9"/>
      <c r="D3794" s="9">
        <f t="shared" si="59"/>
        <v>0</v>
      </c>
      <c r="E3794" s="11"/>
      <c r="F3794" s="9" t="s">
        <v>7</v>
      </c>
    </row>
    <row r="3795" s="1" customFormat="1" customHeight="1" spans="1:6">
      <c r="A3795" s="9" t="str">
        <f>"10210112713"</f>
        <v>10210112713</v>
      </c>
      <c r="B3795" s="10">
        <v>0</v>
      </c>
      <c r="C3795" s="9"/>
      <c r="D3795" s="9">
        <f t="shared" si="59"/>
        <v>0</v>
      </c>
      <c r="E3795" s="11"/>
      <c r="F3795" s="9" t="s">
        <v>7</v>
      </c>
    </row>
    <row r="3796" s="1" customFormat="1" customHeight="1" spans="1:6">
      <c r="A3796" s="9" t="str">
        <f>"20270112714"</f>
        <v>20270112714</v>
      </c>
      <c r="B3796" s="10">
        <v>47.98</v>
      </c>
      <c r="C3796" s="9"/>
      <c r="D3796" s="9">
        <f t="shared" si="59"/>
        <v>47.98</v>
      </c>
      <c r="E3796" s="11"/>
      <c r="F3796" s="9"/>
    </row>
    <row r="3797" s="1" customFormat="1" customHeight="1" spans="1:6">
      <c r="A3797" s="9" t="str">
        <f>"10420112715"</f>
        <v>10420112715</v>
      </c>
      <c r="B3797" s="10">
        <v>0</v>
      </c>
      <c r="C3797" s="9"/>
      <c r="D3797" s="9">
        <f t="shared" si="59"/>
        <v>0</v>
      </c>
      <c r="E3797" s="11"/>
      <c r="F3797" s="9" t="s">
        <v>7</v>
      </c>
    </row>
    <row r="3798" s="1" customFormat="1" customHeight="1" spans="1:6">
      <c r="A3798" s="9" t="str">
        <f>"10330112716"</f>
        <v>10330112716</v>
      </c>
      <c r="B3798" s="10">
        <v>0</v>
      </c>
      <c r="C3798" s="9"/>
      <c r="D3798" s="9">
        <f t="shared" si="59"/>
        <v>0</v>
      </c>
      <c r="E3798" s="11"/>
      <c r="F3798" s="9" t="s">
        <v>7</v>
      </c>
    </row>
    <row r="3799" s="1" customFormat="1" customHeight="1" spans="1:6">
      <c r="A3799" s="9" t="str">
        <f>"10360112717"</f>
        <v>10360112717</v>
      </c>
      <c r="B3799" s="10">
        <v>39.13</v>
      </c>
      <c r="C3799" s="9"/>
      <c r="D3799" s="9">
        <f t="shared" si="59"/>
        <v>39.13</v>
      </c>
      <c r="E3799" s="11"/>
      <c r="F3799" s="9"/>
    </row>
    <row r="3800" s="1" customFormat="1" customHeight="1" spans="1:6">
      <c r="A3800" s="9" t="str">
        <f>"10100112718"</f>
        <v>10100112718</v>
      </c>
      <c r="B3800" s="10">
        <v>0</v>
      </c>
      <c r="C3800" s="9"/>
      <c r="D3800" s="9">
        <f t="shared" si="59"/>
        <v>0</v>
      </c>
      <c r="E3800" s="11"/>
      <c r="F3800" s="9" t="s">
        <v>7</v>
      </c>
    </row>
    <row r="3801" s="1" customFormat="1" customHeight="1" spans="1:6">
      <c r="A3801" s="9" t="str">
        <f>"10300112719"</f>
        <v>10300112719</v>
      </c>
      <c r="B3801" s="10">
        <v>0</v>
      </c>
      <c r="C3801" s="9"/>
      <c r="D3801" s="9">
        <f t="shared" si="59"/>
        <v>0</v>
      </c>
      <c r="E3801" s="11"/>
      <c r="F3801" s="9" t="s">
        <v>7</v>
      </c>
    </row>
    <row r="3802" s="1" customFormat="1" customHeight="1" spans="1:6">
      <c r="A3802" s="9" t="str">
        <f>"10360112720"</f>
        <v>10360112720</v>
      </c>
      <c r="B3802" s="10">
        <v>40.96</v>
      </c>
      <c r="C3802" s="9"/>
      <c r="D3802" s="9">
        <f t="shared" si="59"/>
        <v>40.96</v>
      </c>
      <c r="E3802" s="11"/>
      <c r="F3802" s="9"/>
    </row>
    <row r="3803" s="1" customFormat="1" customHeight="1" spans="1:6">
      <c r="A3803" s="9" t="str">
        <f>"10420112721"</f>
        <v>10420112721</v>
      </c>
      <c r="B3803" s="10">
        <v>0</v>
      </c>
      <c r="C3803" s="9"/>
      <c r="D3803" s="9">
        <f t="shared" si="59"/>
        <v>0</v>
      </c>
      <c r="E3803" s="11"/>
      <c r="F3803" s="9" t="s">
        <v>7</v>
      </c>
    </row>
    <row r="3804" s="1" customFormat="1" customHeight="1" spans="1:6">
      <c r="A3804" s="9" t="str">
        <f>"10530112722"</f>
        <v>10530112722</v>
      </c>
      <c r="B3804" s="10">
        <v>34.52</v>
      </c>
      <c r="C3804" s="9"/>
      <c r="D3804" s="9">
        <f t="shared" si="59"/>
        <v>34.52</v>
      </c>
      <c r="E3804" s="11"/>
      <c r="F3804" s="9"/>
    </row>
    <row r="3805" s="1" customFormat="1" customHeight="1" spans="1:6">
      <c r="A3805" s="9" t="str">
        <f>"10440112723"</f>
        <v>10440112723</v>
      </c>
      <c r="B3805" s="10">
        <v>38.72</v>
      </c>
      <c r="C3805" s="9"/>
      <c r="D3805" s="9">
        <f t="shared" si="59"/>
        <v>38.72</v>
      </c>
      <c r="E3805" s="11"/>
      <c r="F3805" s="9"/>
    </row>
    <row r="3806" s="1" customFormat="1" customHeight="1" spans="1:6">
      <c r="A3806" s="9" t="str">
        <f>"10210112724"</f>
        <v>10210112724</v>
      </c>
      <c r="B3806" s="10">
        <v>0</v>
      </c>
      <c r="C3806" s="9"/>
      <c r="D3806" s="9">
        <f t="shared" si="59"/>
        <v>0</v>
      </c>
      <c r="E3806" s="11"/>
      <c r="F3806" s="9" t="s">
        <v>7</v>
      </c>
    </row>
    <row r="3807" s="1" customFormat="1" customHeight="1" spans="1:6">
      <c r="A3807" s="9" t="str">
        <f>"10150112725"</f>
        <v>10150112725</v>
      </c>
      <c r="B3807" s="10">
        <v>44</v>
      </c>
      <c r="C3807" s="9"/>
      <c r="D3807" s="9">
        <f t="shared" si="59"/>
        <v>44</v>
      </c>
      <c r="E3807" s="11"/>
      <c r="F3807" s="9"/>
    </row>
    <row r="3808" s="1" customFormat="1" customHeight="1" spans="1:6">
      <c r="A3808" s="9" t="str">
        <f>"10330112726"</f>
        <v>10330112726</v>
      </c>
      <c r="B3808" s="10">
        <v>43.12</v>
      </c>
      <c r="C3808" s="9"/>
      <c r="D3808" s="9">
        <f t="shared" si="59"/>
        <v>43.12</v>
      </c>
      <c r="E3808" s="11"/>
      <c r="F3808" s="9"/>
    </row>
    <row r="3809" s="1" customFormat="1" customHeight="1" spans="1:6">
      <c r="A3809" s="9" t="str">
        <f>"10060112727"</f>
        <v>10060112727</v>
      </c>
      <c r="B3809" s="10">
        <v>38.68</v>
      </c>
      <c r="C3809" s="9">
        <v>10</v>
      </c>
      <c r="D3809" s="9">
        <f t="shared" si="59"/>
        <v>48.68</v>
      </c>
      <c r="E3809" s="12" t="s">
        <v>8</v>
      </c>
      <c r="F3809" s="9"/>
    </row>
    <row r="3810" s="1" customFormat="1" customHeight="1" spans="1:6">
      <c r="A3810" s="9" t="str">
        <f>"10080112728"</f>
        <v>10080112728</v>
      </c>
      <c r="B3810" s="10">
        <v>46.8</v>
      </c>
      <c r="C3810" s="9"/>
      <c r="D3810" s="9">
        <f t="shared" si="59"/>
        <v>46.8</v>
      </c>
      <c r="E3810" s="11"/>
      <c r="F3810" s="9"/>
    </row>
    <row r="3811" s="1" customFormat="1" customHeight="1" spans="1:6">
      <c r="A3811" s="9" t="str">
        <f>"10090112729"</f>
        <v>10090112729</v>
      </c>
      <c r="B3811" s="10">
        <v>45.84</v>
      </c>
      <c r="C3811" s="9"/>
      <c r="D3811" s="9">
        <f t="shared" si="59"/>
        <v>45.84</v>
      </c>
      <c r="E3811" s="11"/>
      <c r="F3811" s="9"/>
    </row>
    <row r="3812" s="1" customFormat="1" customHeight="1" spans="1:6">
      <c r="A3812" s="9" t="str">
        <f>"10360112730"</f>
        <v>10360112730</v>
      </c>
      <c r="B3812" s="10">
        <v>0</v>
      </c>
      <c r="C3812" s="9"/>
      <c r="D3812" s="9">
        <f t="shared" si="59"/>
        <v>0</v>
      </c>
      <c r="E3812" s="11"/>
      <c r="F3812" s="9" t="s">
        <v>7</v>
      </c>
    </row>
    <row r="3813" s="1" customFormat="1" customHeight="1" spans="1:6">
      <c r="A3813" s="9" t="str">
        <f>"10210112801"</f>
        <v>10210112801</v>
      </c>
      <c r="B3813" s="10">
        <v>45.22</v>
      </c>
      <c r="C3813" s="9"/>
      <c r="D3813" s="9">
        <f t="shared" si="59"/>
        <v>45.22</v>
      </c>
      <c r="E3813" s="11"/>
      <c r="F3813" s="9"/>
    </row>
    <row r="3814" s="1" customFormat="1" customHeight="1" spans="1:6">
      <c r="A3814" s="9" t="str">
        <f>"10510112802"</f>
        <v>10510112802</v>
      </c>
      <c r="B3814" s="10">
        <v>0</v>
      </c>
      <c r="C3814" s="9"/>
      <c r="D3814" s="9">
        <f t="shared" si="59"/>
        <v>0</v>
      </c>
      <c r="E3814" s="11"/>
      <c r="F3814" s="9" t="s">
        <v>7</v>
      </c>
    </row>
    <row r="3815" s="1" customFormat="1" customHeight="1" spans="1:6">
      <c r="A3815" s="9" t="str">
        <f>"10060112803"</f>
        <v>10060112803</v>
      </c>
      <c r="B3815" s="10">
        <v>42.74</v>
      </c>
      <c r="C3815" s="9"/>
      <c r="D3815" s="9">
        <f t="shared" si="59"/>
        <v>42.74</v>
      </c>
      <c r="E3815" s="11"/>
      <c r="F3815" s="9"/>
    </row>
    <row r="3816" s="1" customFormat="1" customHeight="1" spans="1:6">
      <c r="A3816" s="9" t="str">
        <f>"10290112804"</f>
        <v>10290112804</v>
      </c>
      <c r="B3816" s="10">
        <v>0</v>
      </c>
      <c r="C3816" s="9"/>
      <c r="D3816" s="9">
        <f t="shared" si="59"/>
        <v>0</v>
      </c>
      <c r="E3816" s="11"/>
      <c r="F3816" s="9" t="s">
        <v>7</v>
      </c>
    </row>
    <row r="3817" s="1" customFormat="1" customHeight="1" spans="1:6">
      <c r="A3817" s="9" t="str">
        <f>"10300112805"</f>
        <v>10300112805</v>
      </c>
      <c r="B3817" s="10">
        <v>29.28</v>
      </c>
      <c r="C3817" s="9">
        <v>10</v>
      </c>
      <c r="D3817" s="9">
        <f t="shared" si="59"/>
        <v>39.28</v>
      </c>
      <c r="E3817" s="12" t="s">
        <v>8</v>
      </c>
      <c r="F3817" s="9"/>
    </row>
    <row r="3818" s="1" customFormat="1" customHeight="1" spans="1:6">
      <c r="A3818" s="9" t="str">
        <f>"10070112806"</f>
        <v>10070112806</v>
      </c>
      <c r="B3818" s="10">
        <v>38.82</v>
      </c>
      <c r="C3818" s="9"/>
      <c r="D3818" s="9">
        <f t="shared" si="59"/>
        <v>38.82</v>
      </c>
      <c r="E3818" s="11"/>
      <c r="F3818" s="9"/>
    </row>
    <row r="3819" s="1" customFormat="1" customHeight="1" spans="1:6">
      <c r="A3819" s="9" t="str">
        <f>"10080112807"</f>
        <v>10080112807</v>
      </c>
      <c r="B3819" s="10">
        <v>0</v>
      </c>
      <c r="C3819" s="9"/>
      <c r="D3819" s="9">
        <f t="shared" si="59"/>
        <v>0</v>
      </c>
      <c r="E3819" s="11"/>
      <c r="F3819" s="9" t="s">
        <v>7</v>
      </c>
    </row>
    <row r="3820" s="1" customFormat="1" customHeight="1" spans="1:6">
      <c r="A3820" s="9" t="str">
        <f>"10360112808"</f>
        <v>10360112808</v>
      </c>
      <c r="B3820" s="10">
        <v>41.75</v>
      </c>
      <c r="C3820" s="9"/>
      <c r="D3820" s="9">
        <f t="shared" si="59"/>
        <v>41.75</v>
      </c>
      <c r="E3820" s="11"/>
      <c r="F3820" s="9"/>
    </row>
    <row r="3821" s="1" customFormat="1" customHeight="1" spans="1:6">
      <c r="A3821" s="9" t="str">
        <f>"20180112809"</f>
        <v>20180112809</v>
      </c>
      <c r="B3821" s="10">
        <v>43.8</v>
      </c>
      <c r="C3821" s="9"/>
      <c r="D3821" s="9">
        <f t="shared" si="59"/>
        <v>43.8</v>
      </c>
      <c r="E3821" s="11"/>
      <c r="F3821" s="9"/>
    </row>
    <row r="3822" s="1" customFormat="1" customHeight="1" spans="1:6">
      <c r="A3822" s="9" t="str">
        <f>"20270112810"</f>
        <v>20270112810</v>
      </c>
      <c r="B3822" s="10">
        <v>43.97</v>
      </c>
      <c r="C3822" s="9"/>
      <c r="D3822" s="9">
        <f t="shared" si="59"/>
        <v>43.97</v>
      </c>
      <c r="E3822" s="11"/>
      <c r="F3822" s="9"/>
    </row>
    <row r="3823" s="1" customFormat="1" customHeight="1" spans="1:6">
      <c r="A3823" s="9" t="str">
        <f>"10060112811"</f>
        <v>10060112811</v>
      </c>
      <c r="B3823" s="10">
        <v>37.15</v>
      </c>
      <c r="C3823" s="9"/>
      <c r="D3823" s="9">
        <f t="shared" si="59"/>
        <v>37.15</v>
      </c>
      <c r="E3823" s="11"/>
      <c r="F3823" s="9"/>
    </row>
    <row r="3824" s="1" customFormat="1" customHeight="1" spans="1:6">
      <c r="A3824" s="9" t="str">
        <f>"10070112812"</f>
        <v>10070112812</v>
      </c>
      <c r="B3824" s="10">
        <v>38.55</v>
      </c>
      <c r="C3824" s="9"/>
      <c r="D3824" s="9">
        <f t="shared" si="59"/>
        <v>38.55</v>
      </c>
      <c r="E3824" s="11"/>
      <c r="F3824" s="9"/>
    </row>
    <row r="3825" s="1" customFormat="1" customHeight="1" spans="1:6">
      <c r="A3825" s="9" t="str">
        <f>"10010112813"</f>
        <v>10010112813</v>
      </c>
      <c r="B3825" s="10">
        <v>0</v>
      </c>
      <c r="C3825" s="9"/>
      <c r="D3825" s="9">
        <f t="shared" si="59"/>
        <v>0</v>
      </c>
      <c r="E3825" s="11"/>
      <c r="F3825" s="9" t="s">
        <v>7</v>
      </c>
    </row>
    <row r="3826" s="1" customFormat="1" customHeight="1" spans="1:6">
      <c r="A3826" s="9" t="str">
        <f>"10240112814"</f>
        <v>10240112814</v>
      </c>
      <c r="B3826" s="10">
        <v>37.97</v>
      </c>
      <c r="C3826" s="9"/>
      <c r="D3826" s="9">
        <f t="shared" si="59"/>
        <v>37.97</v>
      </c>
      <c r="E3826" s="11"/>
      <c r="F3826" s="9"/>
    </row>
    <row r="3827" s="1" customFormat="1" customHeight="1" spans="1:6">
      <c r="A3827" s="9" t="str">
        <f>"10360112815"</f>
        <v>10360112815</v>
      </c>
      <c r="B3827" s="10">
        <v>44.21</v>
      </c>
      <c r="C3827" s="9"/>
      <c r="D3827" s="9">
        <f t="shared" si="59"/>
        <v>44.21</v>
      </c>
      <c r="E3827" s="11"/>
      <c r="F3827" s="9"/>
    </row>
    <row r="3828" s="1" customFormat="1" customHeight="1" spans="1:6">
      <c r="A3828" s="9" t="str">
        <f>"10300112816"</f>
        <v>10300112816</v>
      </c>
      <c r="B3828" s="10">
        <v>0</v>
      </c>
      <c r="C3828" s="9"/>
      <c r="D3828" s="9">
        <f t="shared" si="59"/>
        <v>0</v>
      </c>
      <c r="E3828" s="11"/>
      <c r="F3828" s="9" t="s">
        <v>7</v>
      </c>
    </row>
    <row r="3829" s="1" customFormat="1" customHeight="1" spans="1:6">
      <c r="A3829" s="9" t="str">
        <f>"10300112817"</f>
        <v>10300112817</v>
      </c>
      <c r="B3829" s="10">
        <v>35.57</v>
      </c>
      <c r="C3829" s="9"/>
      <c r="D3829" s="9">
        <f t="shared" si="59"/>
        <v>35.57</v>
      </c>
      <c r="E3829" s="11"/>
      <c r="F3829" s="9"/>
    </row>
    <row r="3830" s="1" customFormat="1" customHeight="1" spans="1:6">
      <c r="A3830" s="9" t="str">
        <f>"10060112818"</f>
        <v>10060112818</v>
      </c>
      <c r="B3830" s="10">
        <v>39.93</v>
      </c>
      <c r="C3830" s="9"/>
      <c r="D3830" s="9">
        <f t="shared" si="59"/>
        <v>39.93</v>
      </c>
      <c r="E3830" s="11"/>
      <c r="F3830" s="9"/>
    </row>
    <row r="3831" s="1" customFormat="1" customHeight="1" spans="1:6">
      <c r="A3831" s="9" t="str">
        <f>"10120112819"</f>
        <v>10120112819</v>
      </c>
      <c r="B3831" s="10">
        <v>41.63</v>
      </c>
      <c r="C3831" s="9"/>
      <c r="D3831" s="9">
        <f t="shared" si="59"/>
        <v>41.63</v>
      </c>
      <c r="E3831" s="11"/>
      <c r="F3831" s="9"/>
    </row>
    <row r="3832" s="1" customFormat="1" customHeight="1" spans="1:6">
      <c r="A3832" s="9" t="str">
        <f>"10330112820"</f>
        <v>10330112820</v>
      </c>
      <c r="B3832" s="10">
        <v>35.85</v>
      </c>
      <c r="C3832" s="9"/>
      <c r="D3832" s="9">
        <f t="shared" si="59"/>
        <v>35.85</v>
      </c>
      <c r="E3832" s="11"/>
      <c r="F3832" s="9"/>
    </row>
    <row r="3833" s="1" customFormat="1" customHeight="1" spans="1:6">
      <c r="A3833" s="9" t="str">
        <f>"10310112821"</f>
        <v>10310112821</v>
      </c>
      <c r="B3833" s="10">
        <v>0</v>
      </c>
      <c r="C3833" s="9"/>
      <c r="D3833" s="9">
        <f t="shared" si="59"/>
        <v>0</v>
      </c>
      <c r="E3833" s="11"/>
      <c r="F3833" s="9" t="s">
        <v>7</v>
      </c>
    </row>
    <row r="3834" s="1" customFormat="1" customHeight="1" spans="1:6">
      <c r="A3834" s="9" t="str">
        <f>"10210112822"</f>
        <v>10210112822</v>
      </c>
      <c r="B3834" s="10">
        <v>42.43</v>
      </c>
      <c r="C3834" s="9"/>
      <c r="D3834" s="9">
        <f t="shared" si="59"/>
        <v>42.43</v>
      </c>
      <c r="E3834" s="11"/>
      <c r="F3834" s="9"/>
    </row>
    <row r="3835" s="1" customFormat="1" customHeight="1" spans="1:6">
      <c r="A3835" s="9" t="str">
        <f>"20270112823"</f>
        <v>20270112823</v>
      </c>
      <c r="B3835" s="10">
        <v>48.58</v>
      </c>
      <c r="C3835" s="9"/>
      <c r="D3835" s="9">
        <f t="shared" si="59"/>
        <v>48.58</v>
      </c>
      <c r="E3835" s="11"/>
      <c r="F3835" s="9"/>
    </row>
    <row r="3836" s="1" customFormat="1" customHeight="1" spans="1:6">
      <c r="A3836" s="9" t="str">
        <f>"10290112824"</f>
        <v>10290112824</v>
      </c>
      <c r="B3836" s="10">
        <v>39.63</v>
      </c>
      <c r="C3836" s="9"/>
      <c r="D3836" s="9">
        <f t="shared" si="59"/>
        <v>39.63</v>
      </c>
      <c r="E3836" s="11"/>
      <c r="F3836" s="9"/>
    </row>
    <row r="3837" s="1" customFormat="1" customHeight="1" spans="1:6">
      <c r="A3837" s="9" t="str">
        <f>"10120112825"</f>
        <v>10120112825</v>
      </c>
      <c r="B3837" s="10">
        <v>42.64</v>
      </c>
      <c r="C3837" s="9"/>
      <c r="D3837" s="9">
        <f t="shared" si="59"/>
        <v>42.64</v>
      </c>
      <c r="E3837" s="11"/>
      <c r="F3837" s="9"/>
    </row>
    <row r="3838" s="1" customFormat="1" customHeight="1" spans="1:6">
      <c r="A3838" s="9" t="str">
        <f>"20270112826"</f>
        <v>20270112826</v>
      </c>
      <c r="B3838" s="10">
        <v>40.97</v>
      </c>
      <c r="C3838" s="9">
        <v>10</v>
      </c>
      <c r="D3838" s="9">
        <f t="shared" si="59"/>
        <v>50.97</v>
      </c>
      <c r="E3838" s="12" t="s">
        <v>8</v>
      </c>
      <c r="F3838" s="9"/>
    </row>
    <row r="3839" s="1" customFormat="1" customHeight="1" spans="1:6">
      <c r="A3839" s="9" t="str">
        <f>"10060112827"</f>
        <v>10060112827</v>
      </c>
      <c r="B3839" s="10">
        <v>47</v>
      </c>
      <c r="C3839" s="9"/>
      <c r="D3839" s="9">
        <f t="shared" si="59"/>
        <v>47</v>
      </c>
      <c r="E3839" s="11"/>
      <c r="F3839" s="9"/>
    </row>
    <row r="3840" s="1" customFormat="1" customHeight="1" spans="1:6">
      <c r="A3840" s="9" t="str">
        <f>"10360112828"</f>
        <v>10360112828</v>
      </c>
      <c r="B3840" s="10">
        <v>33.31</v>
      </c>
      <c r="C3840" s="9"/>
      <c r="D3840" s="9">
        <f t="shared" si="59"/>
        <v>33.31</v>
      </c>
      <c r="E3840" s="11"/>
      <c r="F3840" s="9"/>
    </row>
    <row r="3841" s="1" customFormat="1" customHeight="1" spans="1:6">
      <c r="A3841" s="9" t="str">
        <f>"10430112829"</f>
        <v>10430112829</v>
      </c>
      <c r="B3841" s="10">
        <v>37.45</v>
      </c>
      <c r="C3841" s="9"/>
      <c r="D3841" s="9">
        <f t="shared" si="59"/>
        <v>37.45</v>
      </c>
      <c r="E3841" s="11"/>
      <c r="F3841" s="9"/>
    </row>
    <row r="3842" s="1" customFormat="1" customHeight="1" spans="1:6">
      <c r="A3842" s="9" t="str">
        <f>"10360112830"</f>
        <v>10360112830</v>
      </c>
      <c r="B3842" s="10">
        <v>0</v>
      </c>
      <c r="C3842" s="9"/>
      <c r="D3842" s="9">
        <f t="shared" si="59"/>
        <v>0</v>
      </c>
      <c r="E3842" s="11"/>
      <c r="F3842" s="9" t="s">
        <v>7</v>
      </c>
    </row>
    <row r="3843" s="1" customFormat="1" customHeight="1" spans="1:6">
      <c r="A3843" s="9" t="str">
        <f>"10210112901"</f>
        <v>10210112901</v>
      </c>
      <c r="B3843" s="10">
        <v>46.37</v>
      </c>
      <c r="C3843" s="9"/>
      <c r="D3843" s="9">
        <f t="shared" ref="D3843:D3906" si="60">SUM(B3843:C3843)</f>
        <v>46.37</v>
      </c>
      <c r="E3843" s="11"/>
      <c r="F3843" s="9"/>
    </row>
    <row r="3844" s="1" customFormat="1" customHeight="1" spans="1:6">
      <c r="A3844" s="9" t="str">
        <f>"10170112902"</f>
        <v>10170112902</v>
      </c>
      <c r="B3844" s="10">
        <v>44.52</v>
      </c>
      <c r="C3844" s="9"/>
      <c r="D3844" s="9">
        <f t="shared" si="60"/>
        <v>44.52</v>
      </c>
      <c r="E3844" s="11"/>
      <c r="F3844" s="9"/>
    </row>
    <row r="3845" s="1" customFormat="1" customHeight="1" spans="1:6">
      <c r="A3845" s="9" t="str">
        <f>"10500112903"</f>
        <v>10500112903</v>
      </c>
      <c r="B3845" s="10">
        <v>42.18</v>
      </c>
      <c r="C3845" s="9"/>
      <c r="D3845" s="9">
        <f t="shared" si="60"/>
        <v>42.18</v>
      </c>
      <c r="E3845" s="11"/>
      <c r="F3845" s="9"/>
    </row>
    <row r="3846" s="1" customFormat="1" customHeight="1" spans="1:6">
      <c r="A3846" s="9" t="str">
        <f>"10360112904"</f>
        <v>10360112904</v>
      </c>
      <c r="B3846" s="10">
        <v>40.24</v>
      </c>
      <c r="C3846" s="9"/>
      <c r="D3846" s="9">
        <f t="shared" si="60"/>
        <v>40.24</v>
      </c>
      <c r="E3846" s="11"/>
      <c r="F3846" s="9"/>
    </row>
    <row r="3847" s="1" customFormat="1" customHeight="1" spans="1:6">
      <c r="A3847" s="9" t="str">
        <f>"10300112905"</f>
        <v>10300112905</v>
      </c>
      <c r="B3847" s="10">
        <v>0</v>
      </c>
      <c r="C3847" s="9"/>
      <c r="D3847" s="9">
        <f t="shared" si="60"/>
        <v>0</v>
      </c>
      <c r="E3847" s="11"/>
      <c r="F3847" s="9" t="s">
        <v>7</v>
      </c>
    </row>
    <row r="3848" s="1" customFormat="1" customHeight="1" spans="1:6">
      <c r="A3848" s="9" t="str">
        <f>"10240112906"</f>
        <v>10240112906</v>
      </c>
      <c r="B3848" s="10">
        <v>0</v>
      </c>
      <c r="C3848" s="9"/>
      <c r="D3848" s="9">
        <f t="shared" si="60"/>
        <v>0</v>
      </c>
      <c r="E3848" s="11"/>
      <c r="F3848" s="9" t="s">
        <v>7</v>
      </c>
    </row>
    <row r="3849" s="1" customFormat="1" customHeight="1" spans="1:6">
      <c r="A3849" s="9" t="str">
        <f>"10270112907"</f>
        <v>10270112907</v>
      </c>
      <c r="B3849" s="10">
        <v>46.48</v>
      </c>
      <c r="C3849" s="9"/>
      <c r="D3849" s="9">
        <f t="shared" si="60"/>
        <v>46.48</v>
      </c>
      <c r="E3849" s="11"/>
      <c r="F3849" s="9"/>
    </row>
    <row r="3850" s="1" customFormat="1" customHeight="1" spans="1:6">
      <c r="A3850" s="9" t="str">
        <f>"10080112908"</f>
        <v>10080112908</v>
      </c>
      <c r="B3850" s="10">
        <v>0</v>
      </c>
      <c r="C3850" s="9"/>
      <c r="D3850" s="9">
        <f t="shared" si="60"/>
        <v>0</v>
      </c>
      <c r="E3850" s="11"/>
      <c r="F3850" s="9" t="s">
        <v>7</v>
      </c>
    </row>
    <row r="3851" s="1" customFormat="1" customHeight="1" spans="1:6">
      <c r="A3851" s="9" t="str">
        <f>"10140112909"</f>
        <v>10140112909</v>
      </c>
      <c r="B3851" s="10">
        <v>0</v>
      </c>
      <c r="C3851" s="9"/>
      <c r="D3851" s="9">
        <f t="shared" si="60"/>
        <v>0</v>
      </c>
      <c r="E3851" s="11"/>
      <c r="F3851" s="9" t="s">
        <v>7</v>
      </c>
    </row>
    <row r="3852" s="1" customFormat="1" customHeight="1" spans="1:6">
      <c r="A3852" s="9" t="str">
        <f>"10330112910"</f>
        <v>10330112910</v>
      </c>
      <c r="B3852" s="10">
        <v>44.11</v>
      </c>
      <c r="C3852" s="9"/>
      <c r="D3852" s="9">
        <f t="shared" si="60"/>
        <v>44.11</v>
      </c>
      <c r="E3852" s="11"/>
      <c r="F3852" s="9"/>
    </row>
    <row r="3853" s="1" customFormat="1" customHeight="1" spans="1:6">
      <c r="A3853" s="9" t="str">
        <f>"10020112911"</f>
        <v>10020112911</v>
      </c>
      <c r="B3853" s="10">
        <v>44.73</v>
      </c>
      <c r="C3853" s="9"/>
      <c r="D3853" s="9">
        <f t="shared" si="60"/>
        <v>44.73</v>
      </c>
      <c r="E3853" s="11"/>
      <c r="F3853" s="9"/>
    </row>
    <row r="3854" s="1" customFormat="1" customHeight="1" spans="1:6">
      <c r="A3854" s="9" t="str">
        <f>"10410112912"</f>
        <v>10410112912</v>
      </c>
      <c r="B3854" s="10">
        <v>40.78</v>
      </c>
      <c r="C3854" s="9"/>
      <c r="D3854" s="9">
        <f t="shared" si="60"/>
        <v>40.78</v>
      </c>
      <c r="E3854" s="11"/>
      <c r="F3854" s="9"/>
    </row>
    <row r="3855" s="1" customFormat="1" customHeight="1" spans="1:6">
      <c r="A3855" s="9" t="str">
        <f>"10360112913"</f>
        <v>10360112913</v>
      </c>
      <c r="B3855" s="10">
        <v>53.5</v>
      </c>
      <c r="C3855" s="9"/>
      <c r="D3855" s="9">
        <f t="shared" si="60"/>
        <v>53.5</v>
      </c>
      <c r="E3855" s="11"/>
      <c r="F3855" s="9"/>
    </row>
    <row r="3856" s="1" customFormat="1" customHeight="1" spans="1:6">
      <c r="A3856" s="9" t="str">
        <f>"10510112914"</f>
        <v>10510112914</v>
      </c>
      <c r="B3856" s="10">
        <v>40.05</v>
      </c>
      <c r="C3856" s="9"/>
      <c r="D3856" s="9">
        <f t="shared" si="60"/>
        <v>40.05</v>
      </c>
      <c r="E3856" s="11"/>
      <c r="F3856" s="9"/>
    </row>
    <row r="3857" s="1" customFormat="1" customHeight="1" spans="1:6">
      <c r="A3857" s="9" t="str">
        <f>"10480112915"</f>
        <v>10480112915</v>
      </c>
      <c r="B3857" s="10">
        <v>0</v>
      </c>
      <c r="C3857" s="9"/>
      <c r="D3857" s="9">
        <f t="shared" si="60"/>
        <v>0</v>
      </c>
      <c r="E3857" s="11"/>
      <c r="F3857" s="9" t="s">
        <v>7</v>
      </c>
    </row>
    <row r="3858" s="1" customFormat="1" customHeight="1" spans="1:6">
      <c r="A3858" s="9" t="str">
        <f>"10230112916"</f>
        <v>10230112916</v>
      </c>
      <c r="B3858" s="10">
        <v>44.56</v>
      </c>
      <c r="C3858" s="9"/>
      <c r="D3858" s="9">
        <f t="shared" si="60"/>
        <v>44.56</v>
      </c>
      <c r="E3858" s="11"/>
      <c r="F3858" s="9"/>
    </row>
    <row r="3859" s="1" customFormat="1" customHeight="1" spans="1:6">
      <c r="A3859" s="9" t="str">
        <f>"10330112917"</f>
        <v>10330112917</v>
      </c>
      <c r="B3859" s="10">
        <v>38.95</v>
      </c>
      <c r="C3859" s="9"/>
      <c r="D3859" s="9">
        <f t="shared" si="60"/>
        <v>38.95</v>
      </c>
      <c r="E3859" s="11"/>
      <c r="F3859" s="9"/>
    </row>
    <row r="3860" s="1" customFormat="1" customHeight="1" spans="1:6">
      <c r="A3860" s="9" t="str">
        <f>"10130112918"</f>
        <v>10130112918</v>
      </c>
      <c r="B3860" s="10">
        <v>42.95</v>
      </c>
      <c r="C3860" s="9"/>
      <c r="D3860" s="9">
        <f t="shared" si="60"/>
        <v>42.95</v>
      </c>
      <c r="E3860" s="11"/>
      <c r="F3860" s="9"/>
    </row>
    <row r="3861" s="1" customFormat="1" customHeight="1" spans="1:6">
      <c r="A3861" s="9" t="str">
        <f>"10530112919"</f>
        <v>10530112919</v>
      </c>
      <c r="B3861" s="10">
        <v>0</v>
      </c>
      <c r="C3861" s="9"/>
      <c r="D3861" s="9">
        <f t="shared" si="60"/>
        <v>0</v>
      </c>
      <c r="E3861" s="11"/>
      <c r="F3861" s="9" t="s">
        <v>7</v>
      </c>
    </row>
    <row r="3862" s="1" customFormat="1" customHeight="1" spans="1:6">
      <c r="A3862" s="9" t="str">
        <f>"10300112920"</f>
        <v>10300112920</v>
      </c>
      <c r="B3862" s="10">
        <v>0</v>
      </c>
      <c r="C3862" s="9"/>
      <c r="D3862" s="9">
        <f t="shared" si="60"/>
        <v>0</v>
      </c>
      <c r="E3862" s="11"/>
      <c r="F3862" s="9" t="s">
        <v>7</v>
      </c>
    </row>
    <row r="3863" s="1" customFormat="1" customHeight="1" spans="1:6">
      <c r="A3863" s="9" t="str">
        <f>"10360112921"</f>
        <v>10360112921</v>
      </c>
      <c r="B3863" s="10">
        <v>42.52</v>
      </c>
      <c r="C3863" s="9"/>
      <c r="D3863" s="9">
        <f t="shared" si="60"/>
        <v>42.52</v>
      </c>
      <c r="E3863" s="11"/>
      <c r="F3863" s="9"/>
    </row>
    <row r="3864" s="1" customFormat="1" customHeight="1" spans="1:6">
      <c r="A3864" s="9" t="str">
        <f>"10330112922"</f>
        <v>10330112922</v>
      </c>
      <c r="B3864" s="10">
        <v>38.63</v>
      </c>
      <c r="C3864" s="9"/>
      <c r="D3864" s="9">
        <f t="shared" si="60"/>
        <v>38.63</v>
      </c>
      <c r="E3864" s="11"/>
      <c r="F3864" s="9"/>
    </row>
    <row r="3865" s="1" customFormat="1" customHeight="1" spans="1:6">
      <c r="A3865" s="9" t="str">
        <f>"10300112923"</f>
        <v>10300112923</v>
      </c>
      <c r="B3865" s="10">
        <v>0</v>
      </c>
      <c r="C3865" s="9"/>
      <c r="D3865" s="9">
        <f t="shared" si="60"/>
        <v>0</v>
      </c>
      <c r="E3865" s="11"/>
      <c r="F3865" s="9" t="s">
        <v>7</v>
      </c>
    </row>
    <row r="3866" s="1" customFormat="1" customHeight="1" spans="1:6">
      <c r="A3866" s="9" t="str">
        <f>"10010112924"</f>
        <v>10010112924</v>
      </c>
      <c r="B3866" s="10">
        <v>37.46</v>
      </c>
      <c r="C3866" s="9"/>
      <c r="D3866" s="9">
        <f t="shared" si="60"/>
        <v>37.46</v>
      </c>
      <c r="E3866" s="11"/>
      <c r="F3866" s="9"/>
    </row>
    <row r="3867" s="1" customFormat="1" customHeight="1" spans="1:6">
      <c r="A3867" s="9" t="str">
        <f>"10330112925"</f>
        <v>10330112925</v>
      </c>
      <c r="B3867" s="10">
        <v>43.41</v>
      </c>
      <c r="C3867" s="9"/>
      <c r="D3867" s="9">
        <f t="shared" si="60"/>
        <v>43.41</v>
      </c>
      <c r="E3867" s="11"/>
      <c r="F3867" s="9"/>
    </row>
    <row r="3868" s="1" customFormat="1" customHeight="1" spans="1:6">
      <c r="A3868" s="9" t="str">
        <f>"10310112926"</f>
        <v>10310112926</v>
      </c>
      <c r="B3868" s="10">
        <v>46.69</v>
      </c>
      <c r="C3868" s="9"/>
      <c r="D3868" s="9">
        <f t="shared" si="60"/>
        <v>46.69</v>
      </c>
      <c r="E3868" s="11"/>
      <c r="F3868" s="9"/>
    </row>
    <row r="3869" s="1" customFormat="1" customHeight="1" spans="1:6">
      <c r="A3869" s="9" t="str">
        <f>"10070112927"</f>
        <v>10070112927</v>
      </c>
      <c r="B3869" s="10">
        <v>41.45</v>
      </c>
      <c r="C3869" s="9"/>
      <c r="D3869" s="9">
        <f t="shared" si="60"/>
        <v>41.45</v>
      </c>
      <c r="E3869" s="11"/>
      <c r="F3869" s="9"/>
    </row>
    <row r="3870" s="1" customFormat="1" customHeight="1" spans="1:6">
      <c r="A3870" s="9" t="str">
        <f>"10360112928"</f>
        <v>10360112928</v>
      </c>
      <c r="B3870" s="10">
        <v>36.5</v>
      </c>
      <c r="C3870" s="9"/>
      <c r="D3870" s="9">
        <f t="shared" si="60"/>
        <v>36.5</v>
      </c>
      <c r="E3870" s="11"/>
      <c r="F3870" s="9"/>
    </row>
    <row r="3871" s="1" customFormat="1" customHeight="1" spans="1:6">
      <c r="A3871" s="9" t="str">
        <f>"10500112929"</f>
        <v>10500112929</v>
      </c>
      <c r="B3871" s="10">
        <v>39.03</v>
      </c>
      <c r="C3871" s="9"/>
      <c r="D3871" s="9">
        <f t="shared" si="60"/>
        <v>39.03</v>
      </c>
      <c r="E3871" s="11"/>
      <c r="F3871" s="9"/>
    </row>
    <row r="3872" s="1" customFormat="1" customHeight="1" spans="1:6">
      <c r="A3872" s="9" t="str">
        <f>"10300112930"</f>
        <v>10300112930</v>
      </c>
      <c r="B3872" s="10">
        <v>48.7</v>
      </c>
      <c r="C3872" s="9"/>
      <c r="D3872" s="9">
        <f t="shared" si="60"/>
        <v>48.7</v>
      </c>
      <c r="E3872" s="11"/>
      <c r="F3872" s="9"/>
    </row>
    <row r="3873" s="1" customFormat="1" customHeight="1" spans="1:6">
      <c r="A3873" s="9" t="str">
        <f>"10360113001"</f>
        <v>10360113001</v>
      </c>
      <c r="B3873" s="10">
        <v>0</v>
      </c>
      <c r="C3873" s="9"/>
      <c r="D3873" s="9">
        <f t="shared" si="60"/>
        <v>0</v>
      </c>
      <c r="E3873" s="11"/>
      <c r="F3873" s="9" t="s">
        <v>7</v>
      </c>
    </row>
    <row r="3874" s="1" customFormat="1" customHeight="1" spans="1:6">
      <c r="A3874" s="9" t="str">
        <f>"10360113002"</f>
        <v>10360113002</v>
      </c>
      <c r="B3874" s="10">
        <v>0</v>
      </c>
      <c r="C3874" s="9"/>
      <c r="D3874" s="9">
        <f t="shared" si="60"/>
        <v>0</v>
      </c>
      <c r="E3874" s="11"/>
      <c r="F3874" s="9" t="s">
        <v>7</v>
      </c>
    </row>
    <row r="3875" s="1" customFormat="1" customHeight="1" spans="1:6">
      <c r="A3875" s="9" t="str">
        <f>"10300113003"</f>
        <v>10300113003</v>
      </c>
      <c r="B3875" s="10">
        <v>0</v>
      </c>
      <c r="C3875" s="9"/>
      <c r="D3875" s="9">
        <f t="shared" si="60"/>
        <v>0</v>
      </c>
      <c r="E3875" s="11"/>
      <c r="F3875" s="9" t="s">
        <v>7</v>
      </c>
    </row>
    <row r="3876" s="1" customFormat="1" customHeight="1" spans="1:6">
      <c r="A3876" s="9" t="str">
        <f>"10330113004"</f>
        <v>10330113004</v>
      </c>
      <c r="B3876" s="10">
        <v>42.24</v>
      </c>
      <c r="C3876" s="9"/>
      <c r="D3876" s="9">
        <f t="shared" si="60"/>
        <v>42.24</v>
      </c>
      <c r="E3876" s="11"/>
      <c r="F3876" s="9"/>
    </row>
    <row r="3877" s="1" customFormat="1" customHeight="1" spans="1:6">
      <c r="A3877" s="9" t="str">
        <f>"10510113005"</f>
        <v>10510113005</v>
      </c>
      <c r="B3877" s="10">
        <v>37.41</v>
      </c>
      <c r="C3877" s="9"/>
      <c r="D3877" s="9">
        <f t="shared" si="60"/>
        <v>37.41</v>
      </c>
      <c r="E3877" s="11"/>
      <c r="F3877" s="9"/>
    </row>
    <row r="3878" s="1" customFormat="1" customHeight="1" spans="1:6">
      <c r="A3878" s="9" t="str">
        <f>"10360113006"</f>
        <v>10360113006</v>
      </c>
      <c r="B3878" s="10">
        <v>43.56</v>
      </c>
      <c r="C3878" s="9"/>
      <c r="D3878" s="9">
        <f t="shared" si="60"/>
        <v>43.56</v>
      </c>
      <c r="E3878" s="11"/>
      <c r="F3878" s="9"/>
    </row>
    <row r="3879" s="1" customFormat="1" customHeight="1" spans="1:6">
      <c r="A3879" s="9" t="str">
        <f>"10480113007"</f>
        <v>10480113007</v>
      </c>
      <c r="B3879" s="10">
        <v>42.39</v>
      </c>
      <c r="C3879" s="9"/>
      <c r="D3879" s="9">
        <f t="shared" si="60"/>
        <v>42.39</v>
      </c>
      <c r="E3879" s="11"/>
      <c r="F3879" s="9"/>
    </row>
    <row r="3880" s="1" customFormat="1" customHeight="1" spans="1:6">
      <c r="A3880" s="9" t="str">
        <f>"10100113008"</f>
        <v>10100113008</v>
      </c>
      <c r="B3880" s="10">
        <v>46.23</v>
      </c>
      <c r="C3880" s="9"/>
      <c r="D3880" s="9">
        <f t="shared" si="60"/>
        <v>46.23</v>
      </c>
      <c r="E3880" s="11"/>
      <c r="F3880" s="9"/>
    </row>
    <row r="3881" s="1" customFormat="1" customHeight="1" spans="1:6">
      <c r="A3881" s="9" t="str">
        <f>"10040113009"</f>
        <v>10040113009</v>
      </c>
      <c r="B3881" s="10">
        <v>41.21</v>
      </c>
      <c r="C3881" s="9"/>
      <c r="D3881" s="9">
        <f t="shared" si="60"/>
        <v>41.21</v>
      </c>
      <c r="E3881" s="11"/>
      <c r="F3881" s="9"/>
    </row>
    <row r="3882" s="1" customFormat="1" customHeight="1" spans="1:6">
      <c r="A3882" s="9" t="str">
        <f>"10210113010"</f>
        <v>10210113010</v>
      </c>
      <c r="B3882" s="10">
        <v>43.85</v>
      </c>
      <c r="C3882" s="9"/>
      <c r="D3882" s="9">
        <f t="shared" si="60"/>
        <v>43.85</v>
      </c>
      <c r="E3882" s="11"/>
      <c r="F3882" s="9"/>
    </row>
    <row r="3883" s="1" customFormat="1" customHeight="1" spans="1:6">
      <c r="A3883" s="9" t="str">
        <f>"10360113011"</f>
        <v>10360113011</v>
      </c>
      <c r="B3883" s="10">
        <v>33.77</v>
      </c>
      <c r="C3883" s="9"/>
      <c r="D3883" s="9">
        <f t="shared" si="60"/>
        <v>33.77</v>
      </c>
      <c r="E3883" s="11"/>
      <c r="F3883" s="9"/>
    </row>
    <row r="3884" s="1" customFormat="1" customHeight="1" spans="1:6">
      <c r="A3884" s="9" t="str">
        <f>"10300113012"</f>
        <v>10300113012</v>
      </c>
      <c r="B3884" s="10">
        <v>0</v>
      </c>
      <c r="C3884" s="9"/>
      <c r="D3884" s="9">
        <f t="shared" si="60"/>
        <v>0</v>
      </c>
      <c r="E3884" s="11"/>
      <c r="F3884" s="9" t="s">
        <v>7</v>
      </c>
    </row>
    <row r="3885" s="1" customFormat="1" customHeight="1" spans="1:6">
      <c r="A3885" s="9" t="str">
        <f>"10530113013"</f>
        <v>10530113013</v>
      </c>
      <c r="B3885" s="10">
        <v>0</v>
      </c>
      <c r="C3885" s="9"/>
      <c r="D3885" s="9">
        <f t="shared" si="60"/>
        <v>0</v>
      </c>
      <c r="E3885" s="11"/>
      <c r="F3885" s="9" t="s">
        <v>7</v>
      </c>
    </row>
    <row r="3886" s="1" customFormat="1" customHeight="1" spans="1:6">
      <c r="A3886" s="9" t="str">
        <f>"10360113014"</f>
        <v>10360113014</v>
      </c>
      <c r="B3886" s="10">
        <v>35.32</v>
      </c>
      <c r="C3886" s="9"/>
      <c r="D3886" s="9">
        <f t="shared" si="60"/>
        <v>35.32</v>
      </c>
      <c r="E3886" s="11"/>
      <c r="F3886" s="9"/>
    </row>
    <row r="3887" s="1" customFormat="1" customHeight="1" spans="1:6">
      <c r="A3887" s="9" t="str">
        <f>"10110113015"</f>
        <v>10110113015</v>
      </c>
      <c r="B3887" s="10">
        <v>46.26</v>
      </c>
      <c r="C3887" s="9"/>
      <c r="D3887" s="9">
        <f t="shared" si="60"/>
        <v>46.26</v>
      </c>
      <c r="E3887" s="11"/>
      <c r="F3887" s="9"/>
    </row>
    <row r="3888" s="1" customFormat="1" customHeight="1" spans="1:6">
      <c r="A3888" s="9" t="str">
        <f>"10320113016"</f>
        <v>10320113016</v>
      </c>
      <c r="B3888" s="10">
        <v>0</v>
      </c>
      <c r="C3888" s="9"/>
      <c r="D3888" s="9">
        <f t="shared" si="60"/>
        <v>0</v>
      </c>
      <c r="E3888" s="11"/>
      <c r="F3888" s="9" t="s">
        <v>7</v>
      </c>
    </row>
    <row r="3889" s="1" customFormat="1" customHeight="1" spans="1:6">
      <c r="A3889" s="9" t="str">
        <f>"10510113017"</f>
        <v>10510113017</v>
      </c>
      <c r="B3889" s="10">
        <v>0</v>
      </c>
      <c r="C3889" s="9"/>
      <c r="D3889" s="9">
        <f t="shared" si="60"/>
        <v>0</v>
      </c>
      <c r="E3889" s="11"/>
      <c r="F3889" s="9" t="s">
        <v>7</v>
      </c>
    </row>
    <row r="3890" s="1" customFormat="1" customHeight="1" spans="1:6">
      <c r="A3890" s="9" t="str">
        <f>"10170113018"</f>
        <v>10170113018</v>
      </c>
      <c r="B3890" s="10">
        <v>41.8</v>
      </c>
      <c r="C3890" s="9"/>
      <c r="D3890" s="9">
        <f t="shared" si="60"/>
        <v>41.8</v>
      </c>
      <c r="E3890" s="11"/>
      <c r="F3890" s="9"/>
    </row>
    <row r="3891" s="1" customFormat="1" customHeight="1" spans="1:6">
      <c r="A3891" s="9" t="str">
        <f>"10370113019"</f>
        <v>10370113019</v>
      </c>
      <c r="B3891" s="10">
        <v>41.76</v>
      </c>
      <c r="C3891" s="9"/>
      <c r="D3891" s="9">
        <f t="shared" si="60"/>
        <v>41.76</v>
      </c>
      <c r="E3891" s="11"/>
      <c r="F3891" s="9"/>
    </row>
    <row r="3892" s="1" customFormat="1" customHeight="1" spans="1:6">
      <c r="A3892" s="9" t="str">
        <f>"10080113020"</f>
        <v>10080113020</v>
      </c>
      <c r="B3892" s="10">
        <v>43.29</v>
      </c>
      <c r="C3892" s="9"/>
      <c r="D3892" s="9">
        <f t="shared" si="60"/>
        <v>43.29</v>
      </c>
      <c r="E3892" s="11"/>
      <c r="F3892" s="9"/>
    </row>
    <row r="3893" s="1" customFormat="1" customHeight="1" spans="1:6">
      <c r="A3893" s="9" t="str">
        <f>"10230113021"</f>
        <v>10230113021</v>
      </c>
      <c r="B3893" s="10">
        <v>43.49</v>
      </c>
      <c r="C3893" s="9"/>
      <c r="D3893" s="9">
        <f t="shared" si="60"/>
        <v>43.49</v>
      </c>
      <c r="E3893" s="11"/>
      <c r="F3893" s="9"/>
    </row>
    <row r="3894" s="1" customFormat="1" customHeight="1" spans="1:6">
      <c r="A3894" s="9" t="str">
        <f>"10360113022"</f>
        <v>10360113022</v>
      </c>
      <c r="B3894" s="10">
        <v>0</v>
      </c>
      <c r="C3894" s="9"/>
      <c r="D3894" s="9">
        <f t="shared" si="60"/>
        <v>0</v>
      </c>
      <c r="E3894" s="11"/>
      <c r="F3894" s="9" t="s">
        <v>7</v>
      </c>
    </row>
    <row r="3895" s="1" customFormat="1" customHeight="1" spans="1:6">
      <c r="A3895" s="9" t="str">
        <f>"20180113023"</f>
        <v>20180113023</v>
      </c>
      <c r="B3895" s="10">
        <v>43.06</v>
      </c>
      <c r="C3895" s="9"/>
      <c r="D3895" s="9">
        <f t="shared" si="60"/>
        <v>43.06</v>
      </c>
      <c r="E3895" s="11"/>
      <c r="F3895" s="9"/>
    </row>
    <row r="3896" s="1" customFormat="1" customHeight="1" spans="1:6">
      <c r="A3896" s="9" t="str">
        <f>"10330113024"</f>
        <v>10330113024</v>
      </c>
      <c r="B3896" s="10">
        <v>47.28</v>
      </c>
      <c r="C3896" s="9"/>
      <c r="D3896" s="9">
        <f t="shared" si="60"/>
        <v>47.28</v>
      </c>
      <c r="E3896" s="11"/>
      <c r="F3896" s="9"/>
    </row>
    <row r="3897" s="1" customFormat="1" customHeight="1" spans="1:6">
      <c r="A3897" s="9" t="str">
        <f>"10360113025"</f>
        <v>10360113025</v>
      </c>
      <c r="B3897" s="10">
        <v>28.68</v>
      </c>
      <c r="C3897" s="9"/>
      <c r="D3897" s="9">
        <f t="shared" si="60"/>
        <v>28.68</v>
      </c>
      <c r="E3897" s="11"/>
      <c r="F3897" s="9"/>
    </row>
    <row r="3898" s="1" customFormat="1" customHeight="1" spans="1:6">
      <c r="A3898" s="9" t="str">
        <f>"10130113026"</f>
        <v>10130113026</v>
      </c>
      <c r="B3898" s="10">
        <v>0</v>
      </c>
      <c r="C3898" s="9"/>
      <c r="D3898" s="9">
        <f t="shared" si="60"/>
        <v>0</v>
      </c>
      <c r="E3898" s="11"/>
      <c r="F3898" s="9" t="s">
        <v>7</v>
      </c>
    </row>
    <row r="3899" s="1" customFormat="1" customHeight="1" spans="1:6">
      <c r="A3899" s="9" t="str">
        <f>"10160113027"</f>
        <v>10160113027</v>
      </c>
      <c r="B3899" s="10">
        <v>0</v>
      </c>
      <c r="C3899" s="9"/>
      <c r="D3899" s="9">
        <f t="shared" si="60"/>
        <v>0</v>
      </c>
      <c r="E3899" s="11"/>
      <c r="F3899" s="9" t="s">
        <v>7</v>
      </c>
    </row>
    <row r="3900" s="1" customFormat="1" customHeight="1" spans="1:6">
      <c r="A3900" s="9" t="str">
        <f>"10240113028"</f>
        <v>10240113028</v>
      </c>
      <c r="B3900" s="10">
        <v>31.72</v>
      </c>
      <c r="C3900" s="9"/>
      <c r="D3900" s="9">
        <f t="shared" si="60"/>
        <v>31.72</v>
      </c>
      <c r="E3900" s="11"/>
      <c r="F3900" s="9"/>
    </row>
    <row r="3901" s="1" customFormat="1" customHeight="1" spans="1:6">
      <c r="A3901" s="9" t="str">
        <f>"10460113029"</f>
        <v>10460113029</v>
      </c>
      <c r="B3901" s="10">
        <v>51.84</v>
      </c>
      <c r="C3901" s="9"/>
      <c r="D3901" s="9">
        <f t="shared" si="60"/>
        <v>51.84</v>
      </c>
      <c r="E3901" s="11"/>
      <c r="F3901" s="9"/>
    </row>
    <row r="3902" s="1" customFormat="1" customHeight="1" spans="1:6">
      <c r="A3902" s="9" t="str">
        <f>"10110113030"</f>
        <v>10110113030</v>
      </c>
      <c r="B3902" s="10">
        <v>0</v>
      </c>
      <c r="C3902" s="9"/>
      <c r="D3902" s="9">
        <f t="shared" si="60"/>
        <v>0</v>
      </c>
      <c r="E3902" s="11"/>
      <c r="F3902" s="9" t="s">
        <v>7</v>
      </c>
    </row>
    <row r="3903" s="1" customFormat="1" customHeight="1" spans="1:6">
      <c r="A3903" s="9" t="str">
        <f>"10080113101"</f>
        <v>10080113101</v>
      </c>
      <c r="B3903" s="10">
        <v>45.67</v>
      </c>
      <c r="C3903" s="9"/>
      <c r="D3903" s="9">
        <f t="shared" si="60"/>
        <v>45.67</v>
      </c>
      <c r="E3903" s="11"/>
      <c r="F3903" s="9"/>
    </row>
    <row r="3904" s="1" customFormat="1" customHeight="1" spans="1:6">
      <c r="A3904" s="9" t="str">
        <f>"10360113102"</f>
        <v>10360113102</v>
      </c>
      <c r="B3904" s="10">
        <v>0</v>
      </c>
      <c r="C3904" s="9"/>
      <c r="D3904" s="9">
        <f t="shared" si="60"/>
        <v>0</v>
      </c>
      <c r="E3904" s="11"/>
      <c r="F3904" s="9" t="s">
        <v>7</v>
      </c>
    </row>
    <row r="3905" s="1" customFormat="1" customHeight="1" spans="1:6">
      <c r="A3905" s="9" t="str">
        <f>"10080113103"</f>
        <v>10080113103</v>
      </c>
      <c r="B3905" s="10">
        <v>0</v>
      </c>
      <c r="C3905" s="9"/>
      <c r="D3905" s="9">
        <f t="shared" si="60"/>
        <v>0</v>
      </c>
      <c r="E3905" s="11"/>
      <c r="F3905" s="9" t="s">
        <v>7</v>
      </c>
    </row>
    <row r="3906" s="1" customFormat="1" customHeight="1" spans="1:6">
      <c r="A3906" s="9" t="str">
        <f>"10360113104"</f>
        <v>10360113104</v>
      </c>
      <c r="B3906" s="10">
        <v>36.52</v>
      </c>
      <c r="C3906" s="9"/>
      <c r="D3906" s="9">
        <f t="shared" si="60"/>
        <v>36.52</v>
      </c>
      <c r="E3906" s="11"/>
      <c r="F3906" s="9"/>
    </row>
    <row r="3907" s="1" customFormat="1" customHeight="1" spans="1:6">
      <c r="A3907" s="9" t="str">
        <f>"10070113105"</f>
        <v>10070113105</v>
      </c>
      <c r="B3907" s="10">
        <v>0</v>
      </c>
      <c r="C3907" s="9"/>
      <c r="D3907" s="9">
        <f t="shared" ref="D3907:D3970" si="61">SUM(B3907:C3907)</f>
        <v>0</v>
      </c>
      <c r="E3907" s="11"/>
      <c r="F3907" s="9" t="s">
        <v>7</v>
      </c>
    </row>
    <row r="3908" s="1" customFormat="1" customHeight="1" spans="1:6">
      <c r="A3908" s="9" t="str">
        <f>"10500113106"</f>
        <v>10500113106</v>
      </c>
      <c r="B3908" s="10">
        <v>0</v>
      </c>
      <c r="C3908" s="9"/>
      <c r="D3908" s="9">
        <f t="shared" si="61"/>
        <v>0</v>
      </c>
      <c r="E3908" s="11"/>
      <c r="F3908" s="9" t="s">
        <v>7</v>
      </c>
    </row>
    <row r="3909" s="1" customFormat="1" customHeight="1" spans="1:6">
      <c r="A3909" s="9" t="str">
        <f>"10360113107"</f>
        <v>10360113107</v>
      </c>
      <c r="B3909" s="10">
        <v>0</v>
      </c>
      <c r="C3909" s="9"/>
      <c r="D3909" s="9">
        <f t="shared" si="61"/>
        <v>0</v>
      </c>
      <c r="E3909" s="11"/>
      <c r="F3909" s="9" t="s">
        <v>7</v>
      </c>
    </row>
    <row r="3910" s="1" customFormat="1" customHeight="1" spans="1:6">
      <c r="A3910" s="9" t="str">
        <f>"20270113108"</f>
        <v>20270113108</v>
      </c>
      <c r="B3910" s="10">
        <v>0</v>
      </c>
      <c r="C3910" s="9"/>
      <c r="D3910" s="9">
        <f t="shared" si="61"/>
        <v>0</v>
      </c>
      <c r="E3910" s="11"/>
      <c r="F3910" s="9" t="s">
        <v>7</v>
      </c>
    </row>
    <row r="3911" s="1" customFormat="1" customHeight="1" spans="1:6">
      <c r="A3911" s="9" t="str">
        <f>"10360113109"</f>
        <v>10360113109</v>
      </c>
      <c r="B3911" s="10">
        <v>38.44</v>
      </c>
      <c r="C3911" s="9"/>
      <c r="D3911" s="9">
        <f t="shared" si="61"/>
        <v>38.44</v>
      </c>
      <c r="E3911" s="11"/>
      <c r="F3911" s="9"/>
    </row>
    <row r="3912" s="1" customFormat="1" customHeight="1" spans="1:6">
      <c r="A3912" s="9" t="str">
        <f>"10320113110"</f>
        <v>10320113110</v>
      </c>
      <c r="B3912" s="10">
        <v>0</v>
      </c>
      <c r="C3912" s="9"/>
      <c r="D3912" s="9">
        <f t="shared" si="61"/>
        <v>0</v>
      </c>
      <c r="E3912" s="11"/>
      <c r="F3912" s="9" t="s">
        <v>7</v>
      </c>
    </row>
    <row r="3913" s="1" customFormat="1" customHeight="1" spans="1:6">
      <c r="A3913" s="9" t="str">
        <f>"10080113111"</f>
        <v>10080113111</v>
      </c>
      <c r="B3913" s="10">
        <v>0</v>
      </c>
      <c r="C3913" s="9"/>
      <c r="D3913" s="9">
        <f t="shared" si="61"/>
        <v>0</v>
      </c>
      <c r="E3913" s="11"/>
      <c r="F3913" s="9" t="s">
        <v>7</v>
      </c>
    </row>
    <row r="3914" s="1" customFormat="1" customHeight="1" spans="1:6">
      <c r="A3914" s="9" t="str">
        <f>"10380113112"</f>
        <v>10380113112</v>
      </c>
      <c r="B3914" s="10">
        <v>0</v>
      </c>
      <c r="C3914" s="9"/>
      <c r="D3914" s="9">
        <f t="shared" si="61"/>
        <v>0</v>
      </c>
      <c r="E3914" s="11"/>
      <c r="F3914" s="9" t="s">
        <v>7</v>
      </c>
    </row>
    <row r="3915" s="1" customFormat="1" customHeight="1" spans="1:6">
      <c r="A3915" s="9" t="str">
        <f>"10060113113"</f>
        <v>10060113113</v>
      </c>
      <c r="B3915" s="10">
        <v>44.55</v>
      </c>
      <c r="C3915" s="9"/>
      <c r="D3915" s="9">
        <f t="shared" si="61"/>
        <v>44.55</v>
      </c>
      <c r="E3915" s="11"/>
      <c r="F3915" s="9"/>
    </row>
    <row r="3916" s="1" customFormat="1" customHeight="1" spans="1:6">
      <c r="A3916" s="9" t="str">
        <f>"10290113114"</f>
        <v>10290113114</v>
      </c>
      <c r="B3916" s="10">
        <v>48.81</v>
      </c>
      <c r="C3916" s="9"/>
      <c r="D3916" s="9">
        <f t="shared" si="61"/>
        <v>48.81</v>
      </c>
      <c r="E3916" s="11"/>
      <c r="F3916" s="9"/>
    </row>
    <row r="3917" s="1" customFormat="1" customHeight="1" spans="1:6">
      <c r="A3917" s="9" t="str">
        <f>"10360113115"</f>
        <v>10360113115</v>
      </c>
      <c r="B3917" s="10">
        <v>0</v>
      </c>
      <c r="C3917" s="9"/>
      <c r="D3917" s="9">
        <f t="shared" si="61"/>
        <v>0</v>
      </c>
      <c r="E3917" s="11"/>
      <c r="F3917" s="9" t="s">
        <v>7</v>
      </c>
    </row>
    <row r="3918" s="1" customFormat="1" customHeight="1" spans="1:6">
      <c r="A3918" s="9" t="str">
        <f>"10330113116"</f>
        <v>10330113116</v>
      </c>
      <c r="B3918" s="10">
        <v>0</v>
      </c>
      <c r="C3918" s="9"/>
      <c r="D3918" s="9">
        <f t="shared" si="61"/>
        <v>0</v>
      </c>
      <c r="E3918" s="11"/>
      <c r="F3918" s="9" t="s">
        <v>7</v>
      </c>
    </row>
    <row r="3919" s="1" customFormat="1" customHeight="1" spans="1:6">
      <c r="A3919" s="9" t="str">
        <f>"10360113117"</f>
        <v>10360113117</v>
      </c>
      <c r="B3919" s="10">
        <v>0</v>
      </c>
      <c r="C3919" s="9"/>
      <c r="D3919" s="9">
        <f t="shared" si="61"/>
        <v>0</v>
      </c>
      <c r="E3919" s="11"/>
      <c r="F3919" s="9" t="s">
        <v>7</v>
      </c>
    </row>
    <row r="3920" s="1" customFormat="1" customHeight="1" spans="1:6">
      <c r="A3920" s="9" t="str">
        <f>"10130113118"</f>
        <v>10130113118</v>
      </c>
      <c r="B3920" s="10">
        <v>36.46</v>
      </c>
      <c r="C3920" s="9"/>
      <c r="D3920" s="9">
        <f t="shared" si="61"/>
        <v>36.46</v>
      </c>
      <c r="E3920" s="11"/>
      <c r="F3920" s="9"/>
    </row>
    <row r="3921" s="1" customFormat="1" customHeight="1" spans="1:6">
      <c r="A3921" s="9" t="str">
        <f>"10210113119"</f>
        <v>10210113119</v>
      </c>
      <c r="B3921" s="10">
        <v>41.43</v>
      </c>
      <c r="C3921" s="9"/>
      <c r="D3921" s="9">
        <f t="shared" si="61"/>
        <v>41.43</v>
      </c>
      <c r="E3921" s="11"/>
      <c r="F3921" s="9"/>
    </row>
    <row r="3922" s="1" customFormat="1" customHeight="1" spans="1:6">
      <c r="A3922" s="9" t="str">
        <f>"10530113120"</f>
        <v>10530113120</v>
      </c>
      <c r="B3922" s="10">
        <v>31.67</v>
      </c>
      <c r="C3922" s="9"/>
      <c r="D3922" s="9">
        <f t="shared" si="61"/>
        <v>31.67</v>
      </c>
      <c r="E3922" s="11"/>
      <c r="F3922" s="9"/>
    </row>
    <row r="3923" s="1" customFormat="1" customHeight="1" spans="1:6">
      <c r="A3923" s="9" t="str">
        <f>"10360113121"</f>
        <v>10360113121</v>
      </c>
      <c r="B3923" s="10">
        <v>0</v>
      </c>
      <c r="C3923" s="9"/>
      <c r="D3923" s="9">
        <f t="shared" si="61"/>
        <v>0</v>
      </c>
      <c r="E3923" s="11"/>
      <c r="F3923" s="9" t="s">
        <v>7</v>
      </c>
    </row>
    <row r="3924" s="1" customFormat="1" customHeight="1" spans="1:6">
      <c r="A3924" s="9" t="str">
        <f>"10120113122"</f>
        <v>10120113122</v>
      </c>
      <c r="B3924" s="10">
        <v>42.33</v>
      </c>
      <c r="C3924" s="9"/>
      <c r="D3924" s="9">
        <f t="shared" si="61"/>
        <v>42.33</v>
      </c>
      <c r="E3924" s="11"/>
      <c r="F3924" s="9"/>
    </row>
    <row r="3925" s="1" customFormat="1" customHeight="1" spans="1:6">
      <c r="A3925" s="9" t="str">
        <f>"10310113123"</f>
        <v>10310113123</v>
      </c>
      <c r="B3925" s="10">
        <v>46.35</v>
      </c>
      <c r="C3925" s="9"/>
      <c r="D3925" s="9">
        <f t="shared" si="61"/>
        <v>46.35</v>
      </c>
      <c r="E3925" s="11"/>
      <c r="F3925" s="9"/>
    </row>
    <row r="3926" s="1" customFormat="1" customHeight="1" spans="1:6">
      <c r="A3926" s="9" t="str">
        <f>"10500113124"</f>
        <v>10500113124</v>
      </c>
      <c r="B3926" s="10">
        <v>0</v>
      </c>
      <c r="C3926" s="9"/>
      <c r="D3926" s="9">
        <f t="shared" si="61"/>
        <v>0</v>
      </c>
      <c r="E3926" s="11"/>
      <c r="F3926" s="9" t="s">
        <v>7</v>
      </c>
    </row>
    <row r="3927" s="1" customFormat="1" customHeight="1" spans="1:6">
      <c r="A3927" s="9" t="str">
        <f>"10360113125"</f>
        <v>10360113125</v>
      </c>
      <c r="B3927" s="10">
        <v>0</v>
      </c>
      <c r="C3927" s="9"/>
      <c r="D3927" s="9">
        <f t="shared" si="61"/>
        <v>0</v>
      </c>
      <c r="E3927" s="11"/>
      <c r="F3927" s="9" t="s">
        <v>7</v>
      </c>
    </row>
    <row r="3928" s="1" customFormat="1" customHeight="1" spans="1:6">
      <c r="A3928" s="9" t="str">
        <f>"10150113126"</f>
        <v>10150113126</v>
      </c>
      <c r="B3928" s="10">
        <v>31.05</v>
      </c>
      <c r="C3928" s="9"/>
      <c r="D3928" s="9">
        <f t="shared" si="61"/>
        <v>31.05</v>
      </c>
      <c r="E3928" s="11"/>
      <c r="F3928" s="9"/>
    </row>
    <row r="3929" s="1" customFormat="1" customHeight="1" spans="1:6">
      <c r="A3929" s="9" t="str">
        <f>"10440113127"</f>
        <v>10440113127</v>
      </c>
      <c r="B3929" s="10">
        <v>0</v>
      </c>
      <c r="C3929" s="9"/>
      <c r="D3929" s="9">
        <f t="shared" si="61"/>
        <v>0</v>
      </c>
      <c r="E3929" s="11"/>
      <c r="F3929" s="9" t="s">
        <v>7</v>
      </c>
    </row>
    <row r="3930" s="1" customFormat="1" customHeight="1" spans="1:6">
      <c r="A3930" s="9" t="str">
        <f>"10330113128"</f>
        <v>10330113128</v>
      </c>
      <c r="B3930" s="10">
        <v>42.55</v>
      </c>
      <c r="C3930" s="9"/>
      <c r="D3930" s="9">
        <f t="shared" si="61"/>
        <v>42.55</v>
      </c>
      <c r="E3930" s="11"/>
      <c r="F3930" s="9"/>
    </row>
    <row r="3931" s="1" customFormat="1" customHeight="1" spans="1:6">
      <c r="A3931" s="9" t="str">
        <f>"10240113129"</f>
        <v>10240113129</v>
      </c>
      <c r="B3931" s="10">
        <v>38.25</v>
      </c>
      <c r="C3931" s="9"/>
      <c r="D3931" s="9">
        <f t="shared" si="61"/>
        <v>38.25</v>
      </c>
      <c r="E3931" s="11"/>
      <c r="F3931" s="9"/>
    </row>
    <row r="3932" s="1" customFormat="1" customHeight="1" spans="1:6">
      <c r="A3932" s="9" t="str">
        <f>"10420113130"</f>
        <v>10420113130</v>
      </c>
      <c r="B3932" s="10">
        <v>45.27</v>
      </c>
      <c r="C3932" s="9"/>
      <c r="D3932" s="9">
        <f t="shared" si="61"/>
        <v>45.27</v>
      </c>
      <c r="E3932" s="11"/>
      <c r="F3932" s="9"/>
    </row>
    <row r="3933" s="1" customFormat="1" customHeight="1" spans="1:6">
      <c r="A3933" s="9" t="str">
        <f>"10300113201"</f>
        <v>10300113201</v>
      </c>
      <c r="B3933" s="10">
        <v>47.76</v>
      </c>
      <c r="C3933" s="9"/>
      <c r="D3933" s="9">
        <f t="shared" si="61"/>
        <v>47.76</v>
      </c>
      <c r="E3933" s="11"/>
      <c r="F3933" s="9"/>
    </row>
    <row r="3934" s="1" customFormat="1" customHeight="1" spans="1:6">
      <c r="A3934" s="9" t="str">
        <f>"10440113202"</f>
        <v>10440113202</v>
      </c>
      <c r="B3934" s="10">
        <v>43.84</v>
      </c>
      <c r="C3934" s="9"/>
      <c r="D3934" s="9">
        <f t="shared" si="61"/>
        <v>43.84</v>
      </c>
      <c r="E3934" s="11"/>
      <c r="F3934" s="9"/>
    </row>
    <row r="3935" s="1" customFormat="1" customHeight="1" spans="1:6">
      <c r="A3935" s="9" t="str">
        <f>"10130113203"</f>
        <v>10130113203</v>
      </c>
      <c r="B3935" s="10">
        <v>74.94</v>
      </c>
      <c r="C3935" s="9"/>
      <c r="D3935" s="9">
        <f t="shared" si="61"/>
        <v>74.94</v>
      </c>
      <c r="E3935" s="11"/>
      <c r="F3935" s="9"/>
    </row>
    <row r="3936" s="1" customFormat="1" customHeight="1" spans="1:6">
      <c r="A3936" s="9" t="str">
        <f>"10360113204"</f>
        <v>10360113204</v>
      </c>
      <c r="B3936" s="10">
        <v>44.02</v>
      </c>
      <c r="C3936" s="9"/>
      <c r="D3936" s="9">
        <f t="shared" si="61"/>
        <v>44.02</v>
      </c>
      <c r="E3936" s="11"/>
      <c r="F3936" s="9"/>
    </row>
    <row r="3937" s="1" customFormat="1" customHeight="1" spans="1:6">
      <c r="A3937" s="9" t="str">
        <f>"10010113205"</f>
        <v>10010113205</v>
      </c>
      <c r="B3937" s="10">
        <v>43.52</v>
      </c>
      <c r="C3937" s="9"/>
      <c r="D3937" s="9">
        <f t="shared" si="61"/>
        <v>43.52</v>
      </c>
      <c r="E3937" s="11"/>
      <c r="F3937" s="9"/>
    </row>
    <row r="3938" s="1" customFormat="1" customHeight="1" spans="1:6">
      <c r="A3938" s="9" t="str">
        <f>"10210113206"</f>
        <v>10210113206</v>
      </c>
      <c r="B3938" s="10">
        <v>41.48</v>
      </c>
      <c r="C3938" s="9"/>
      <c r="D3938" s="9">
        <f t="shared" si="61"/>
        <v>41.48</v>
      </c>
      <c r="E3938" s="11"/>
      <c r="F3938" s="9"/>
    </row>
    <row r="3939" s="1" customFormat="1" customHeight="1" spans="1:6">
      <c r="A3939" s="9" t="str">
        <f>"10300113207"</f>
        <v>10300113207</v>
      </c>
      <c r="B3939" s="10">
        <v>0</v>
      </c>
      <c r="C3939" s="9"/>
      <c r="D3939" s="9">
        <f t="shared" si="61"/>
        <v>0</v>
      </c>
      <c r="E3939" s="11"/>
      <c r="F3939" s="9" t="s">
        <v>7</v>
      </c>
    </row>
    <row r="3940" s="1" customFormat="1" customHeight="1" spans="1:6">
      <c r="A3940" s="9" t="str">
        <f>"10060113208"</f>
        <v>10060113208</v>
      </c>
      <c r="B3940" s="10">
        <v>0</v>
      </c>
      <c r="C3940" s="9"/>
      <c r="D3940" s="9">
        <f t="shared" si="61"/>
        <v>0</v>
      </c>
      <c r="E3940" s="11"/>
      <c r="F3940" s="9" t="s">
        <v>7</v>
      </c>
    </row>
    <row r="3941" s="1" customFormat="1" customHeight="1" spans="1:6">
      <c r="A3941" s="9" t="str">
        <f>"10300113209"</f>
        <v>10300113209</v>
      </c>
      <c r="B3941" s="10">
        <v>40.31</v>
      </c>
      <c r="C3941" s="9"/>
      <c r="D3941" s="9">
        <f t="shared" si="61"/>
        <v>40.31</v>
      </c>
      <c r="E3941" s="11"/>
      <c r="F3941" s="9"/>
    </row>
    <row r="3942" s="1" customFormat="1" customHeight="1" spans="1:6">
      <c r="A3942" s="9" t="str">
        <f>"10360113210"</f>
        <v>10360113210</v>
      </c>
      <c r="B3942" s="10">
        <v>45.65</v>
      </c>
      <c r="C3942" s="9"/>
      <c r="D3942" s="9">
        <f t="shared" si="61"/>
        <v>45.65</v>
      </c>
      <c r="E3942" s="11"/>
      <c r="F3942" s="9"/>
    </row>
    <row r="3943" s="1" customFormat="1" customHeight="1" spans="1:6">
      <c r="A3943" s="9" t="str">
        <f>"10140113211"</f>
        <v>10140113211</v>
      </c>
      <c r="B3943" s="10">
        <v>38.01</v>
      </c>
      <c r="C3943" s="9"/>
      <c r="D3943" s="9">
        <f t="shared" si="61"/>
        <v>38.01</v>
      </c>
      <c r="E3943" s="11"/>
      <c r="F3943" s="9"/>
    </row>
    <row r="3944" s="1" customFormat="1" customHeight="1" spans="1:6">
      <c r="A3944" s="9" t="str">
        <f>"10530113212"</f>
        <v>10530113212</v>
      </c>
      <c r="B3944" s="10">
        <v>0</v>
      </c>
      <c r="C3944" s="9"/>
      <c r="D3944" s="9">
        <f t="shared" si="61"/>
        <v>0</v>
      </c>
      <c r="E3944" s="11"/>
      <c r="F3944" s="9" t="s">
        <v>7</v>
      </c>
    </row>
    <row r="3945" s="1" customFormat="1" customHeight="1" spans="1:6">
      <c r="A3945" s="9" t="str">
        <f>"10360113213"</f>
        <v>10360113213</v>
      </c>
      <c r="B3945" s="10">
        <v>43.17</v>
      </c>
      <c r="C3945" s="9"/>
      <c r="D3945" s="9">
        <f t="shared" si="61"/>
        <v>43.17</v>
      </c>
      <c r="E3945" s="11"/>
      <c r="F3945" s="9"/>
    </row>
    <row r="3946" s="1" customFormat="1" customHeight="1" spans="1:6">
      <c r="A3946" s="9" t="str">
        <f>"10510113214"</f>
        <v>10510113214</v>
      </c>
      <c r="B3946" s="10">
        <v>28.2</v>
      </c>
      <c r="C3946" s="9"/>
      <c r="D3946" s="9">
        <f t="shared" si="61"/>
        <v>28.2</v>
      </c>
      <c r="E3946" s="11"/>
      <c r="F3946" s="9"/>
    </row>
    <row r="3947" s="1" customFormat="1" customHeight="1" spans="1:6">
      <c r="A3947" s="9" t="str">
        <f>"10230113215"</f>
        <v>10230113215</v>
      </c>
      <c r="B3947" s="10">
        <v>25.1</v>
      </c>
      <c r="C3947" s="9"/>
      <c r="D3947" s="9">
        <f t="shared" si="61"/>
        <v>25.1</v>
      </c>
      <c r="E3947" s="11"/>
      <c r="F3947" s="9"/>
    </row>
    <row r="3948" s="1" customFormat="1" customHeight="1" spans="1:6">
      <c r="A3948" s="9" t="str">
        <f>"10530113216"</f>
        <v>10530113216</v>
      </c>
      <c r="B3948" s="10">
        <v>0</v>
      </c>
      <c r="C3948" s="9"/>
      <c r="D3948" s="9">
        <f t="shared" si="61"/>
        <v>0</v>
      </c>
      <c r="E3948" s="11"/>
      <c r="F3948" s="9" t="s">
        <v>7</v>
      </c>
    </row>
    <row r="3949" s="1" customFormat="1" customHeight="1" spans="1:6">
      <c r="A3949" s="9" t="str">
        <f>"10360113217"</f>
        <v>10360113217</v>
      </c>
      <c r="B3949" s="10">
        <v>0</v>
      </c>
      <c r="C3949" s="9"/>
      <c r="D3949" s="9">
        <f t="shared" si="61"/>
        <v>0</v>
      </c>
      <c r="E3949" s="11"/>
      <c r="F3949" s="9" t="s">
        <v>7</v>
      </c>
    </row>
    <row r="3950" s="1" customFormat="1" customHeight="1" spans="1:6">
      <c r="A3950" s="9" t="str">
        <f>"10360113218"</f>
        <v>10360113218</v>
      </c>
      <c r="B3950" s="10">
        <v>43.22</v>
      </c>
      <c r="C3950" s="9"/>
      <c r="D3950" s="9">
        <f t="shared" si="61"/>
        <v>43.22</v>
      </c>
      <c r="E3950" s="11"/>
      <c r="F3950" s="9"/>
    </row>
    <row r="3951" s="1" customFormat="1" customHeight="1" spans="1:6">
      <c r="A3951" s="9" t="str">
        <f>"10210113219"</f>
        <v>10210113219</v>
      </c>
      <c r="B3951" s="10">
        <v>37.42</v>
      </c>
      <c r="C3951" s="9"/>
      <c r="D3951" s="9">
        <f t="shared" si="61"/>
        <v>37.42</v>
      </c>
      <c r="E3951" s="11"/>
      <c r="F3951" s="9"/>
    </row>
    <row r="3952" s="1" customFormat="1" customHeight="1" spans="1:6">
      <c r="A3952" s="9" t="str">
        <f>"10360113220"</f>
        <v>10360113220</v>
      </c>
      <c r="B3952" s="10">
        <v>32.72</v>
      </c>
      <c r="C3952" s="9"/>
      <c r="D3952" s="9">
        <f t="shared" si="61"/>
        <v>32.72</v>
      </c>
      <c r="E3952" s="11"/>
      <c r="F3952" s="9"/>
    </row>
    <row r="3953" s="1" customFormat="1" customHeight="1" spans="1:6">
      <c r="A3953" s="9" t="str">
        <f>"10110113221"</f>
        <v>10110113221</v>
      </c>
      <c r="B3953" s="10">
        <v>40.49</v>
      </c>
      <c r="C3953" s="9"/>
      <c r="D3953" s="9">
        <f t="shared" si="61"/>
        <v>40.49</v>
      </c>
      <c r="E3953" s="11"/>
      <c r="F3953" s="9"/>
    </row>
    <row r="3954" s="1" customFormat="1" customHeight="1" spans="1:6">
      <c r="A3954" s="9" t="str">
        <f>"10360113222"</f>
        <v>10360113222</v>
      </c>
      <c r="B3954" s="10">
        <v>37.66</v>
      </c>
      <c r="C3954" s="9"/>
      <c r="D3954" s="9">
        <f t="shared" si="61"/>
        <v>37.66</v>
      </c>
      <c r="E3954" s="11"/>
      <c r="F3954" s="9"/>
    </row>
    <row r="3955" s="1" customFormat="1" customHeight="1" spans="1:6">
      <c r="A3955" s="9" t="str">
        <f>"10210113223"</f>
        <v>10210113223</v>
      </c>
      <c r="B3955" s="10">
        <v>44.48</v>
      </c>
      <c r="C3955" s="9"/>
      <c r="D3955" s="9">
        <f t="shared" si="61"/>
        <v>44.48</v>
      </c>
      <c r="E3955" s="11"/>
      <c r="F3955" s="9"/>
    </row>
    <row r="3956" s="1" customFormat="1" customHeight="1" spans="1:6">
      <c r="A3956" s="9" t="str">
        <f>"10060113224"</f>
        <v>10060113224</v>
      </c>
      <c r="B3956" s="10">
        <v>39.58</v>
      </c>
      <c r="C3956" s="9"/>
      <c r="D3956" s="9">
        <f t="shared" si="61"/>
        <v>39.58</v>
      </c>
      <c r="E3956" s="11"/>
      <c r="F3956" s="9"/>
    </row>
    <row r="3957" s="1" customFormat="1" customHeight="1" spans="1:6">
      <c r="A3957" s="9" t="str">
        <f>"10520113225"</f>
        <v>10520113225</v>
      </c>
      <c r="B3957" s="10">
        <v>43.85</v>
      </c>
      <c r="C3957" s="9"/>
      <c r="D3957" s="9">
        <f t="shared" si="61"/>
        <v>43.85</v>
      </c>
      <c r="E3957" s="11"/>
      <c r="F3957" s="9"/>
    </row>
    <row r="3958" s="1" customFormat="1" customHeight="1" spans="1:6">
      <c r="A3958" s="9" t="str">
        <f>"10370113226"</f>
        <v>10370113226</v>
      </c>
      <c r="B3958" s="10">
        <v>46.31</v>
      </c>
      <c r="C3958" s="9"/>
      <c r="D3958" s="9">
        <f t="shared" si="61"/>
        <v>46.31</v>
      </c>
      <c r="E3958" s="11"/>
      <c r="F3958" s="9"/>
    </row>
    <row r="3959" s="1" customFormat="1" customHeight="1" spans="1:6">
      <c r="A3959" s="9" t="str">
        <f>"10300113227"</f>
        <v>10300113227</v>
      </c>
      <c r="B3959" s="10">
        <v>35.86</v>
      </c>
      <c r="C3959" s="9"/>
      <c r="D3959" s="9">
        <f t="shared" si="61"/>
        <v>35.86</v>
      </c>
      <c r="E3959" s="11"/>
      <c r="F3959" s="9"/>
    </row>
    <row r="3960" s="1" customFormat="1" customHeight="1" spans="1:6">
      <c r="A3960" s="9" t="str">
        <f>"10530113228"</f>
        <v>10530113228</v>
      </c>
      <c r="B3960" s="10">
        <v>46.97</v>
      </c>
      <c r="C3960" s="9"/>
      <c r="D3960" s="9">
        <f t="shared" si="61"/>
        <v>46.97</v>
      </c>
      <c r="E3960" s="11"/>
      <c r="F3960" s="9"/>
    </row>
    <row r="3961" s="1" customFormat="1" customHeight="1" spans="1:6">
      <c r="A3961" s="9" t="str">
        <f>"10400113229"</f>
        <v>10400113229</v>
      </c>
      <c r="B3961" s="10">
        <v>36.49</v>
      </c>
      <c r="C3961" s="9"/>
      <c r="D3961" s="9">
        <f t="shared" si="61"/>
        <v>36.49</v>
      </c>
      <c r="E3961" s="11"/>
      <c r="F3961" s="9"/>
    </row>
    <row r="3962" s="1" customFormat="1" customHeight="1" spans="1:6">
      <c r="A3962" s="9" t="str">
        <f>"10330113230"</f>
        <v>10330113230</v>
      </c>
      <c r="B3962" s="10">
        <v>51.9</v>
      </c>
      <c r="C3962" s="9"/>
      <c r="D3962" s="9">
        <f t="shared" si="61"/>
        <v>51.9</v>
      </c>
      <c r="E3962" s="11"/>
      <c r="F3962" s="9"/>
    </row>
    <row r="3963" s="1" customFormat="1" customHeight="1" spans="1:6">
      <c r="A3963" s="9" t="str">
        <f>"10360113301"</f>
        <v>10360113301</v>
      </c>
      <c r="B3963" s="10">
        <v>40.58</v>
      </c>
      <c r="C3963" s="9"/>
      <c r="D3963" s="9">
        <f t="shared" si="61"/>
        <v>40.58</v>
      </c>
      <c r="E3963" s="11"/>
      <c r="F3963" s="9"/>
    </row>
    <row r="3964" s="1" customFormat="1" customHeight="1" spans="1:6">
      <c r="A3964" s="9" t="str">
        <f>"10360113302"</f>
        <v>10360113302</v>
      </c>
      <c r="B3964" s="10">
        <v>0</v>
      </c>
      <c r="C3964" s="9"/>
      <c r="D3964" s="9">
        <f t="shared" si="61"/>
        <v>0</v>
      </c>
      <c r="E3964" s="11"/>
      <c r="F3964" s="9" t="s">
        <v>7</v>
      </c>
    </row>
    <row r="3965" s="1" customFormat="1" customHeight="1" spans="1:6">
      <c r="A3965" s="9" t="str">
        <f>"10280113303"</f>
        <v>10280113303</v>
      </c>
      <c r="B3965" s="10">
        <v>0</v>
      </c>
      <c r="C3965" s="9"/>
      <c r="D3965" s="9">
        <f t="shared" si="61"/>
        <v>0</v>
      </c>
      <c r="E3965" s="11"/>
      <c r="F3965" s="9" t="s">
        <v>7</v>
      </c>
    </row>
    <row r="3966" s="1" customFormat="1" customHeight="1" spans="1:6">
      <c r="A3966" s="9" t="str">
        <f>"10290113304"</f>
        <v>10290113304</v>
      </c>
      <c r="B3966" s="10">
        <v>0</v>
      </c>
      <c r="C3966" s="9"/>
      <c r="D3966" s="9">
        <f t="shared" si="61"/>
        <v>0</v>
      </c>
      <c r="E3966" s="11"/>
      <c r="F3966" s="9" t="s">
        <v>7</v>
      </c>
    </row>
    <row r="3967" s="1" customFormat="1" customHeight="1" spans="1:6">
      <c r="A3967" s="9" t="str">
        <f>"10530113305"</f>
        <v>10530113305</v>
      </c>
      <c r="B3967" s="10">
        <v>44.96</v>
      </c>
      <c r="C3967" s="9"/>
      <c r="D3967" s="9">
        <f t="shared" si="61"/>
        <v>44.96</v>
      </c>
      <c r="E3967" s="11"/>
      <c r="F3967" s="9"/>
    </row>
    <row r="3968" s="1" customFormat="1" customHeight="1" spans="1:6">
      <c r="A3968" s="9" t="str">
        <f>"10300113306"</f>
        <v>10300113306</v>
      </c>
      <c r="B3968" s="10">
        <v>0</v>
      </c>
      <c r="C3968" s="9"/>
      <c r="D3968" s="9">
        <f t="shared" si="61"/>
        <v>0</v>
      </c>
      <c r="E3968" s="11"/>
      <c r="F3968" s="9" t="s">
        <v>7</v>
      </c>
    </row>
    <row r="3969" s="1" customFormat="1" customHeight="1" spans="1:6">
      <c r="A3969" s="9" t="str">
        <f>"10200113307"</f>
        <v>10200113307</v>
      </c>
      <c r="B3969" s="10">
        <v>50.73</v>
      </c>
      <c r="C3969" s="9"/>
      <c r="D3969" s="9">
        <f t="shared" si="61"/>
        <v>50.73</v>
      </c>
      <c r="E3969" s="11"/>
      <c r="F3969" s="9"/>
    </row>
    <row r="3970" s="1" customFormat="1" customHeight="1" spans="1:6">
      <c r="A3970" s="9" t="str">
        <f>"10060113308"</f>
        <v>10060113308</v>
      </c>
      <c r="B3970" s="10">
        <v>42.76</v>
      </c>
      <c r="C3970" s="9"/>
      <c r="D3970" s="9">
        <f t="shared" si="61"/>
        <v>42.76</v>
      </c>
      <c r="E3970" s="11"/>
      <c r="F3970" s="9"/>
    </row>
    <row r="3971" s="1" customFormat="1" customHeight="1" spans="1:6">
      <c r="A3971" s="9" t="str">
        <f>"10360113309"</f>
        <v>10360113309</v>
      </c>
      <c r="B3971" s="10">
        <v>0</v>
      </c>
      <c r="C3971" s="9"/>
      <c r="D3971" s="9">
        <f t="shared" ref="D3971:D4034" si="62">SUM(B3971:C3971)</f>
        <v>0</v>
      </c>
      <c r="E3971" s="11"/>
      <c r="F3971" s="9" t="s">
        <v>7</v>
      </c>
    </row>
    <row r="3972" s="1" customFormat="1" customHeight="1" spans="1:6">
      <c r="A3972" s="9" t="str">
        <f>"10360113310"</f>
        <v>10360113310</v>
      </c>
      <c r="B3972" s="10">
        <v>32.19</v>
      </c>
      <c r="C3972" s="9"/>
      <c r="D3972" s="9">
        <f t="shared" si="62"/>
        <v>32.19</v>
      </c>
      <c r="E3972" s="11"/>
      <c r="F3972" s="9"/>
    </row>
    <row r="3973" s="1" customFormat="1" customHeight="1" spans="1:6">
      <c r="A3973" s="9" t="str">
        <f>"10360113311"</f>
        <v>10360113311</v>
      </c>
      <c r="B3973" s="10">
        <v>39.23</v>
      </c>
      <c r="C3973" s="9"/>
      <c r="D3973" s="9">
        <f t="shared" si="62"/>
        <v>39.23</v>
      </c>
      <c r="E3973" s="11"/>
      <c r="F3973" s="9"/>
    </row>
    <row r="3974" s="1" customFormat="1" customHeight="1" spans="1:6">
      <c r="A3974" s="9" t="str">
        <f>"10330113312"</f>
        <v>10330113312</v>
      </c>
      <c r="B3974" s="10">
        <v>45.82</v>
      </c>
      <c r="C3974" s="9"/>
      <c r="D3974" s="9">
        <f t="shared" si="62"/>
        <v>45.82</v>
      </c>
      <c r="E3974" s="11"/>
      <c r="F3974" s="9"/>
    </row>
    <row r="3975" s="1" customFormat="1" customHeight="1" spans="1:6">
      <c r="A3975" s="9" t="str">
        <f>"20270113313"</f>
        <v>20270113313</v>
      </c>
      <c r="B3975" s="10">
        <v>41.71</v>
      </c>
      <c r="C3975" s="9"/>
      <c r="D3975" s="9">
        <f t="shared" si="62"/>
        <v>41.71</v>
      </c>
      <c r="E3975" s="11"/>
      <c r="F3975" s="9"/>
    </row>
    <row r="3976" s="1" customFormat="1" customHeight="1" spans="1:6">
      <c r="A3976" s="9" t="str">
        <f>"10360113314"</f>
        <v>10360113314</v>
      </c>
      <c r="B3976" s="10">
        <v>0</v>
      </c>
      <c r="C3976" s="9"/>
      <c r="D3976" s="9">
        <f t="shared" si="62"/>
        <v>0</v>
      </c>
      <c r="E3976" s="11"/>
      <c r="F3976" s="9" t="s">
        <v>7</v>
      </c>
    </row>
    <row r="3977" s="1" customFormat="1" customHeight="1" spans="1:6">
      <c r="A3977" s="9" t="str">
        <f>"10480113315"</f>
        <v>10480113315</v>
      </c>
      <c r="B3977" s="10">
        <v>37.91</v>
      </c>
      <c r="C3977" s="9"/>
      <c r="D3977" s="9">
        <f t="shared" si="62"/>
        <v>37.91</v>
      </c>
      <c r="E3977" s="11"/>
      <c r="F3977" s="9"/>
    </row>
    <row r="3978" s="1" customFormat="1" customHeight="1" spans="1:6">
      <c r="A3978" s="9" t="str">
        <f>"10500113316"</f>
        <v>10500113316</v>
      </c>
      <c r="B3978" s="10">
        <v>0</v>
      </c>
      <c r="C3978" s="9"/>
      <c r="D3978" s="9">
        <f t="shared" si="62"/>
        <v>0</v>
      </c>
      <c r="E3978" s="11"/>
      <c r="F3978" s="9" t="s">
        <v>7</v>
      </c>
    </row>
    <row r="3979" s="1" customFormat="1" customHeight="1" spans="1:6">
      <c r="A3979" s="9" t="str">
        <f>"10080113317"</f>
        <v>10080113317</v>
      </c>
      <c r="B3979" s="10">
        <v>46.05</v>
      </c>
      <c r="C3979" s="9"/>
      <c r="D3979" s="9">
        <f t="shared" si="62"/>
        <v>46.05</v>
      </c>
      <c r="E3979" s="11"/>
      <c r="F3979" s="9"/>
    </row>
    <row r="3980" s="1" customFormat="1" customHeight="1" spans="1:6">
      <c r="A3980" s="9" t="str">
        <f>"10380113318"</f>
        <v>10380113318</v>
      </c>
      <c r="B3980" s="10">
        <v>0</v>
      </c>
      <c r="C3980" s="9"/>
      <c r="D3980" s="9">
        <f t="shared" si="62"/>
        <v>0</v>
      </c>
      <c r="E3980" s="11"/>
      <c r="F3980" s="9" t="s">
        <v>7</v>
      </c>
    </row>
    <row r="3981" s="1" customFormat="1" customHeight="1" spans="1:6">
      <c r="A3981" s="9" t="str">
        <f>"10360113319"</f>
        <v>10360113319</v>
      </c>
      <c r="B3981" s="10">
        <v>0</v>
      </c>
      <c r="C3981" s="9"/>
      <c r="D3981" s="9">
        <f t="shared" si="62"/>
        <v>0</v>
      </c>
      <c r="E3981" s="11"/>
      <c r="F3981" s="9" t="s">
        <v>7</v>
      </c>
    </row>
    <row r="3982" s="1" customFormat="1" customHeight="1" spans="1:6">
      <c r="A3982" s="9" t="str">
        <f>"10360113320"</f>
        <v>10360113320</v>
      </c>
      <c r="B3982" s="10">
        <v>39.2</v>
      </c>
      <c r="C3982" s="9"/>
      <c r="D3982" s="9">
        <f t="shared" si="62"/>
        <v>39.2</v>
      </c>
      <c r="E3982" s="11"/>
      <c r="F3982" s="9"/>
    </row>
    <row r="3983" s="1" customFormat="1" customHeight="1" spans="1:6">
      <c r="A3983" s="9" t="str">
        <f>"10370113321"</f>
        <v>10370113321</v>
      </c>
      <c r="B3983" s="10">
        <v>0</v>
      </c>
      <c r="C3983" s="9"/>
      <c r="D3983" s="9">
        <f t="shared" si="62"/>
        <v>0</v>
      </c>
      <c r="E3983" s="11"/>
      <c r="F3983" s="9" t="s">
        <v>7</v>
      </c>
    </row>
    <row r="3984" s="1" customFormat="1" customHeight="1" spans="1:6">
      <c r="A3984" s="9" t="str">
        <f>"10450113322"</f>
        <v>10450113322</v>
      </c>
      <c r="B3984" s="10">
        <v>32.71</v>
      </c>
      <c r="C3984" s="9"/>
      <c r="D3984" s="9">
        <f t="shared" si="62"/>
        <v>32.71</v>
      </c>
      <c r="E3984" s="11"/>
      <c r="F3984" s="9"/>
    </row>
    <row r="3985" s="1" customFormat="1" customHeight="1" spans="1:6">
      <c r="A3985" s="9" t="str">
        <f>"10440113323"</f>
        <v>10440113323</v>
      </c>
      <c r="B3985" s="10">
        <v>0</v>
      </c>
      <c r="C3985" s="9"/>
      <c r="D3985" s="9">
        <f t="shared" si="62"/>
        <v>0</v>
      </c>
      <c r="E3985" s="11"/>
      <c r="F3985" s="9" t="s">
        <v>7</v>
      </c>
    </row>
    <row r="3986" s="1" customFormat="1" customHeight="1" spans="1:6">
      <c r="A3986" s="9" t="str">
        <f>"10060113324"</f>
        <v>10060113324</v>
      </c>
      <c r="B3986" s="10">
        <v>34.29</v>
      </c>
      <c r="C3986" s="9"/>
      <c r="D3986" s="9">
        <f t="shared" si="62"/>
        <v>34.29</v>
      </c>
      <c r="E3986" s="11"/>
      <c r="F3986" s="9"/>
    </row>
    <row r="3987" s="1" customFormat="1" customHeight="1" spans="1:6">
      <c r="A3987" s="9" t="str">
        <f>"10510113325"</f>
        <v>10510113325</v>
      </c>
      <c r="B3987" s="10">
        <v>36.76</v>
      </c>
      <c r="C3987" s="9"/>
      <c r="D3987" s="9">
        <f t="shared" si="62"/>
        <v>36.76</v>
      </c>
      <c r="E3987" s="11"/>
      <c r="F3987" s="9"/>
    </row>
    <row r="3988" s="1" customFormat="1" customHeight="1" spans="1:6">
      <c r="A3988" s="9" t="str">
        <f>"10300113326"</f>
        <v>10300113326</v>
      </c>
      <c r="B3988" s="10">
        <v>0</v>
      </c>
      <c r="C3988" s="9"/>
      <c r="D3988" s="9">
        <f t="shared" si="62"/>
        <v>0</v>
      </c>
      <c r="E3988" s="11"/>
      <c r="F3988" s="9" t="s">
        <v>7</v>
      </c>
    </row>
    <row r="3989" s="1" customFormat="1" customHeight="1" spans="1:6">
      <c r="A3989" s="9" t="str">
        <f>"10530113327"</f>
        <v>10530113327</v>
      </c>
      <c r="B3989" s="10">
        <v>43.97</v>
      </c>
      <c r="C3989" s="9"/>
      <c r="D3989" s="9">
        <f t="shared" si="62"/>
        <v>43.97</v>
      </c>
      <c r="E3989" s="11"/>
      <c r="F3989" s="9"/>
    </row>
    <row r="3990" s="1" customFormat="1" customHeight="1" spans="1:6">
      <c r="A3990" s="9" t="str">
        <f>"10360113328"</f>
        <v>10360113328</v>
      </c>
      <c r="B3990" s="10">
        <v>0</v>
      </c>
      <c r="C3990" s="9"/>
      <c r="D3990" s="9">
        <f t="shared" si="62"/>
        <v>0</v>
      </c>
      <c r="E3990" s="11"/>
      <c r="F3990" s="9" t="s">
        <v>7</v>
      </c>
    </row>
    <row r="3991" s="1" customFormat="1" customHeight="1" spans="1:6">
      <c r="A3991" s="9" t="str">
        <f>"10360113329"</f>
        <v>10360113329</v>
      </c>
      <c r="B3991" s="10">
        <v>25.82</v>
      </c>
      <c r="C3991" s="9"/>
      <c r="D3991" s="9">
        <f t="shared" si="62"/>
        <v>25.82</v>
      </c>
      <c r="E3991" s="11"/>
      <c r="F3991" s="9"/>
    </row>
    <row r="3992" s="1" customFormat="1" customHeight="1" spans="1:6">
      <c r="A3992" s="9" t="str">
        <f>"10210113330"</f>
        <v>10210113330</v>
      </c>
      <c r="B3992" s="10">
        <v>0</v>
      </c>
      <c r="C3992" s="9"/>
      <c r="D3992" s="9">
        <f t="shared" si="62"/>
        <v>0</v>
      </c>
      <c r="E3992" s="11"/>
      <c r="F3992" s="9" t="s">
        <v>7</v>
      </c>
    </row>
    <row r="3993" s="1" customFormat="1" customHeight="1" spans="1:6">
      <c r="A3993" s="9" t="str">
        <f>"10270113401"</f>
        <v>10270113401</v>
      </c>
      <c r="B3993" s="10">
        <v>0</v>
      </c>
      <c r="C3993" s="9"/>
      <c r="D3993" s="9">
        <f t="shared" si="62"/>
        <v>0</v>
      </c>
      <c r="E3993" s="11"/>
      <c r="F3993" s="9" t="s">
        <v>7</v>
      </c>
    </row>
    <row r="3994" s="1" customFormat="1" customHeight="1" spans="1:6">
      <c r="A3994" s="9" t="str">
        <f>"10300113402"</f>
        <v>10300113402</v>
      </c>
      <c r="B3994" s="10">
        <v>41.63</v>
      </c>
      <c r="C3994" s="9"/>
      <c r="D3994" s="9">
        <f t="shared" si="62"/>
        <v>41.63</v>
      </c>
      <c r="E3994" s="11"/>
      <c r="F3994" s="9"/>
    </row>
    <row r="3995" s="1" customFormat="1" customHeight="1" spans="1:6">
      <c r="A3995" s="9" t="str">
        <f>"10280113403"</f>
        <v>10280113403</v>
      </c>
      <c r="B3995" s="10">
        <v>0</v>
      </c>
      <c r="C3995" s="9"/>
      <c r="D3995" s="9">
        <f t="shared" si="62"/>
        <v>0</v>
      </c>
      <c r="E3995" s="11"/>
      <c r="F3995" s="9" t="s">
        <v>7</v>
      </c>
    </row>
    <row r="3996" s="1" customFormat="1" customHeight="1" spans="1:6">
      <c r="A3996" s="9" t="str">
        <f>"10430113404"</f>
        <v>10430113404</v>
      </c>
      <c r="B3996" s="10">
        <v>41.3</v>
      </c>
      <c r="C3996" s="9"/>
      <c r="D3996" s="9">
        <f t="shared" si="62"/>
        <v>41.3</v>
      </c>
      <c r="E3996" s="11"/>
      <c r="F3996" s="9"/>
    </row>
    <row r="3997" s="1" customFormat="1" customHeight="1" spans="1:6">
      <c r="A3997" s="9" t="str">
        <f>"10330113405"</f>
        <v>10330113405</v>
      </c>
      <c r="B3997" s="10">
        <v>32.59</v>
      </c>
      <c r="C3997" s="9"/>
      <c r="D3997" s="9">
        <f t="shared" si="62"/>
        <v>32.59</v>
      </c>
      <c r="E3997" s="11"/>
      <c r="F3997" s="9"/>
    </row>
    <row r="3998" s="1" customFormat="1" customHeight="1" spans="1:6">
      <c r="A3998" s="9" t="str">
        <f>"10490113406"</f>
        <v>10490113406</v>
      </c>
      <c r="B3998" s="10">
        <v>33.83</v>
      </c>
      <c r="C3998" s="9"/>
      <c r="D3998" s="9">
        <f t="shared" si="62"/>
        <v>33.83</v>
      </c>
      <c r="E3998" s="11"/>
      <c r="F3998" s="9"/>
    </row>
    <row r="3999" s="1" customFormat="1" customHeight="1" spans="1:6">
      <c r="A3999" s="9" t="str">
        <f>"10360113407"</f>
        <v>10360113407</v>
      </c>
      <c r="B3999" s="10">
        <v>0</v>
      </c>
      <c r="C3999" s="9"/>
      <c r="D3999" s="9">
        <f t="shared" si="62"/>
        <v>0</v>
      </c>
      <c r="E3999" s="11"/>
      <c r="F3999" s="9" t="s">
        <v>7</v>
      </c>
    </row>
    <row r="4000" s="1" customFormat="1" customHeight="1" spans="1:6">
      <c r="A4000" s="9" t="str">
        <f>"10500113408"</f>
        <v>10500113408</v>
      </c>
      <c r="B4000" s="10">
        <v>33.32</v>
      </c>
      <c r="C4000" s="9"/>
      <c r="D4000" s="9">
        <f t="shared" si="62"/>
        <v>33.32</v>
      </c>
      <c r="E4000" s="11"/>
      <c r="F4000" s="9"/>
    </row>
    <row r="4001" s="1" customFormat="1" customHeight="1" spans="1:6">
      <c r="A4001" s="9" t="str">
        <f>"10490113409"</f>
        <v>10490113409</v>
      </c>
      <c r="B4001" s="10">
        <v>43.7</v>
      </c>
      <c r="C4001" s="9"/>
      <c r="D4001" s="9">
        <f t="shared" si="62"/>
        <v>43.7</v>
      </c>
      <c r="E4001" s="11"/>
      <c r="F4001" s="9"/>
    </row>
    <row r="4002" s="1" customFormat="1" customHeight="1" spans="1:6">
      <c r="A4002" s="9" t="str">
        <f>"10430113410"</f>
        <v>10430113410</v>
      </c>
      <c r="B4002" s="10">
        <v>40.27</v>
      </c>
      <c r="C4002" s="9"/>
      <c r="D4002" s="9">
        <f t="shared" si="62"/>
        <v>40.27</v>
      </c>
      <c r="E4002" s="11"/>
      <c r="F4002" s="9"/>
    </row>
    <row r="4003" s="1" customFormat="1" customHeight="1" spans="1:6">
      <c r="A4003" s="9" t="str">
        <f>"10130113411"</f>
        <v>10130113411</v>
      </c>
      <c r="B4003" s="10">
        <v>34.13</v>
      </c>
      <c r="C4003" s="9"/>
      <c r="D4003" s="9">
        <f t="shared" si="62"/>
        <v>34.13</v>
      </c>
      <c r="E4003" s="11"/>
      <c r="F4003" s="9"/>
    </row>
    <row r="4004" s="1" customFormat="1" customHeight="1" spans="1:6">
      <c r="A4004" s="9" t="str">
        <f>"10360113412"</f>
        <v>10360113412</v>
      </c>
      <c r="B4004" s="10">
        <v>43.51</v>
      </c>
      <c r="C4004" s="9"/>
      <c r="D4004" s="9">
        <f t="shared" si="62"/>
        <v>43.51</v>
      </c>
      <c r="E4004" s="11"/>
      <c r="F4004" s="9"/>
    </row>
    <row r="4005" s="1" customFormat="1" customHeight="1" spans="1:6">
      <c r="A4005" s="9" t="str">
        <f>"10060113413"</f>
        <v>10060113413</v>
      </c>
      <c r="B4005" s="10">
        <v>44.32</v>
      </c>
      <c r="C4005" s="9"/>
      <c r="D4005" s="9">
        <f t="shared" si="62"/>
        <v>44.32</v>
      </c>
      <c r="E4005" s="11"/>
      <c r="F4005" s="9"/>
    </row>
    <row r="4006" s="1" customFormat="1" customHeight="1" spans="1:6">
      <c r="A4006" s="9" t="str">
        <f>"10360113414"</f>
        <v>10360113414</v>
      </c>
      <c r="B4006" s="10">
        <v>35.44</v>
      </c>
      <c r="C4006" s="9"/>
      <c r="D4006" s="9">
        <f t="shared" si="62"/>
        <v>35.44</v>
      </c>
      <c r="E4006" s="11"/>
      <c r="F4006" s="9"/>
    </row>
    <row r="4007" s="1" customFormat="1" customHeight="1" spans="1:6">
      <c r="A4007" s="9" t="str">
        <f>"10300113415"</f>
        <v>10300113415</v>
      </c>
      <c r="B4007" s="10">
        <v>39.3</v>
      </c>
      <c r="C4007" s="9"/>
      <c r="D4007" s="9">
        <f t="shared" si="62"/>
        <v>39.3</v>
      </c>
      <c r="E4007" s="11"/>
      <c r="F4007" s="9"/>
    </row>
    <row r="4008" s="1" customFormat="1" customHeight="1" spans="1:6">
      <c r="A4008" s="9" t="str">
        <f>"10130113416"</f>
        <v>10130113416</v>
      </c>
      <c r="B4008" s="10">
        <v>0</v>
      </c>
      <c r="C4008" s="9"/>
      <c r="D4008" s="9">
        <f t="shared" si="62"/>
        <v>0</v>
      </c>
      <c r="E4008" s="11"/>
      <c r="F4008" s="9" t="s">
        <v>7</v>
      </c>
    </row>
    <row r="4009" s="1" customFormat="1" customHeight="1" spans="1:6">
      <c r="A4009" s="9" t="str">
        <f>"10360113417"</f>
        <v>10360113417</v>
      </c>
      <c r="B4009" s="10">
        <v>34.77</v>
      </c>
      <c r="C4009" s="9"/>
      <c r="D4009" s="9">
        <f t="shared" si="62"/>
        <v>34.77</v>
      </c>
      <c r="E4009" s="11"/>
      <c r="F4009" s="9"/>
    </row>
    <row r="4010" s="1" customFormat="1" customHeight="1" spans="1:6">
      <c r="A4010" s="9" t="str">
        <f>"10080113418"</f>
        <v>10080113418</v>
      </c>
      <c r="B4010" s="10">
        <v>0</v>
      </c>
      <c r="C4010" s="9"/>
      <c r="D4010" s="9">
        <f t="shared" si="62"/>
        <v>0</v>
      </c>
      <c r="E4010" s="11"/>
      <c r="F4010" s="9" t="s">
        <v>7</v>
      </c>
    </row>
    <row r="4011" s="1" customFormat="1" customHeight="1" spans="1:6">
      <c r="A4011" s="9" t="str">
        <f>"10100113419"</f>
        <v>10100113419</v>
      </c>
      <c r="B4011" s="10">
        <v>42.05</v>
      </c>
      <c r="C4011" s="9"/>
      <c r="D4011" s="9">
        <f t="shared" si="62"/>
        <v>42.05</v>
      </c>
      <c r="E4011" s="11"/>
      <c r="F4011" s="9"/>
    </row>
    <row r="4012" s="1" customFormat="1" customHeight="1" spans="1:6">
      <c r="A4012" s="9" t="str">
        <f>"10050113420"</f>
        <v>10050113420</v>
      </c>
      <c r="B4012" s="10">
        <v>0</v>
      </c>
      <c r="C4012" s="9"/>
      <c r="D4012" s="9">
        <f t="shared" si="62"/>
        <v>0</v>
      </c>
      <c r="E4012" s="11"/>
      <c r="F4012" s="9" t="s">
        <v>7</v>
      </c>
    </row>
    <row r="4013" s="1" customFormat="1" customHeight="1" spans="1:6">
      <c r="A4013" s="9" t="str">
        <f>"10450113421"</f>
        <v>10450113421</v>
      </c>
      <c r="B4013" s="10">
        <v>36.33</v>
      </c>
      <c r="C4013" s="9"/>
      <c r="D4013" s="9">
        <f t="shared" si="62"/>
        <v>36.33</v>
      </c>
      <c r="E4013" s="11"/>
      <c r="F4013" s="9"/>
    </row>
    <row r="4014" s="1" customFormat="1" customHeight="1" spans="1:6">
      <c r="A4014" s="9" t="str">
        <f>"10100113422"</f>
        <v>10100113422</v>
      </c>
      <c r="B4014" s="10">
        <v>55.74</v>
      </c>
      <c r="C4014" s="9"/>
      <c r="D4014" s="9">
        <f t="shared" si="62"/>
        <v>55.74</v>
      </c>
      <c r="E4014" s="11"/>
      <c r="F4014" s="9"/>
    </row>
    <row r="4015" s="1" customFormat="1" customHeight="1" spans="1:6">
      <c r="A4015" s="9" t="str">
        <f>"10360113423"</f>
        <v>10360113423</v>
      </c>
      <c r="B4015" s="10">
        <v>35.58</v>
      </c>
      <c r="C4015" s="9"/>
      <c r="D4015" s="9">
        <f t="shared" si="62"/>
        <v>35.58</v>
      </c>
      <c r="E4015" s="11"/>
      <c r="F4015" s="9"/>
    </row>
    <row r="4016" s="1" customFormat="1" customHeight="1" spans="1:6">
      <c r="A4016" s="9" t="str">
        <f>"10360113424"</f>
        <v>10360113424</v>
      </c>
      <c r="B4016" s="10">
        <v>41.25</v>
      </c>
      <c r="C4016" s="9"/>
      <c r="D4016" s="9">
        <f t="shared" si="62"/>
        <v>41.25</v>
      </c>
      <c r="E4016" s="11"/>
      <c r="F4016" s="9"/>
    </row>
    <row r="4017" s="1" customFormat="1" customHeight="1" spans="1:6">
      <c r="A4017" s="9" t="str">
        <f>"10330113425"</f>
        <v>10330113425</v>
      </c>
      <c r="B4017" s="10">
        <v>35.5</v>
      </c>
      <c r="C4017" s="9"/>
      <c r="D4017" s="9">
        <f t="shared" si="62"/>
        <v>35.5</v>
      </c>
      <c r="E4017" s="11"/>
      <c r="F4017" s="9"/>
    </row>
    <row r="4018" s="1" customFormat="1" customHeight="1" spans="1:6">
      <c r="A4018" s="9" t="str">
        <f>"10120113426"</f>
        <v>10120113426</v>
      </c>
      <c r="B4018" s="10">
        <v>0</v>
      </c>
      <c r="C4018" s="9"/>
      <c r="D4018" s="9">
        <f t="shared" si="62"/>
        <v>0</v>
      </c>
      <c r="E4018" s="11"/>
      <c r="F4018" s="9" t="s">
        <v>7</v>
      </c>
    </row>
    <row r="4019" s="1" customFormat="1" customHeight="1" spans="1:6">
      <c r="A4019" s="9" t="str">
        <f>"10330113427"</f>
        <v>10330113427</v>
      </c>
      <c r="B4019" s="10">
        <v>47.33</v>
      </c>
      <c r="C4019" s="9"/>
      <c r="D4019" s="9">
        <f t="shared" si="62"/>
        <v>47.33</v>
      </c>
      <c r="E4019" s="11"/>
      <c r="F4019" s="9"/>
    </row>
    <row r="4020" s="1" customFormat="1" customHeight="1" spans="1:6">
      <c r="A4020" s="9" t="str">
        <f>"20270113428"</f>
        <v>20270113428</v>
      </c>
      <c r="B4020" s="10">
        <v>39.8</v>
      </c>
      <c r="C4020" s="9"/>
      <c r="D4020" s="9">
        <f t="shared" si="62"/>
        <v>39.8</v>
      </c>
      <c r="E4020" s="11"/>
      <c r="F4020" s="9"/>
    </row>
    <row r="4021" s="1" customFormat="1" customHeight="1" spans="1:6">
      <c r="A4021" s="9" t="str">
        <f>"10240113429"</f>
        <v>10240113429</v>
      </c>
      <c r="B4021" s="10">
        <v>39.56</v>
      </c>
      <c r="C4021" s="9"/>
      <c r="D4021" s="9">
        <f t="shared" si="62"/>
        <v>39.56</v>
      </c>
      <c r="E4021" s="11"/>
      <c r="F4021" s="9"/>
    </row>
    <row r="4022" s="1" customFormat="1" customHeight="1" spans="1:6">
      <c r="A4022" s="9" t="str">
        <f>"10300113430"</f>
        <v>10300113430</v>
      </c>
      <c r="B4022" s="10">
        <v>0</v>
      </c>
      <c r="C4022" s="9"/>
      <c r="D4022" s="9">
        <f t="shared" si="62"/>
        <v>0</v>
      </c>
      <c r="E4022" s="11"/>
      <c r="F4022" s="9" t="s">
        <v>7</v>
      </c>
    </row>
    <row r="4023" s="1" customFormat="1" customHeight="1" spans="1:6">
      <c r="A4023" s="9" t="str">
        <f>"10060113501"</f>
        <v>10060113501</v>
      </c>
      <c r="B4023" s="10">
        <v>38.74</v>
      </c>
      <c r="C4023" s="9"/>
      <c r="D4023" s="9">
        <f t="shared" si="62"/>
        <v>38.74</v>
      </c>
      <c r="E4023" s="11"/>
      <c r="F4023" s="9"/>
    </row>
    <row r="4024" s="1" customFormat="1" customHeight="1" spans="1:6">
      <c r="A4024" s="9" t="str">
        <f>"10020113502"</f>
        <v>10020113502</v>
      </c>
      <c r="B4024" s="10">
        <v>47.44</v>
      </c>
      <c r="C4024" s="9"/>
      <c r="D4024" s="9">
        <f t="shared" si="62"/>
        <v>47.44</v>
      </c>
      <c r="E4024" s="11"/>
      <c r="F4024" s="9"/>
    </row>
    <row r="4025" s="1" customFormat="1" customHeight="1" spans="1:6">
      <c r="A4025" s="9" t="str">
        <f>"10360113503"</f>
        <v>10360113503</v>
      </c>
      <c r="B4025" s="10">
        <v>32.29</v>
      </c>
      <c r="C4025" s="9"/>
      <c r="D4025" s="9">
        <f t="shared" si="62"/>
        <v>32.29</v>
      </c>
      <c r="E4025" s="11"/>
      <c r="F4025" s="9"/>
    </row>
    <row r="4026" s="1" customFormat="1" customHeight="1" spans="1:6">
      <c r="A4026" s="9" t="str">
        <f>"10360113504"</f>
        <v>10360113504</v>
      </c>
      <c r="B4026" s="10">
        <v>0</v>
      </c>
      <c r="C4026" s="9"/>
      <c r="D4026" s="9">
        <f t="shared" si="62"/>
        <v>0</v>
      </c>
      <c r="E4026" s="11"/>
      <c r="F4026" s="9" t="s">
        <v>7</v>
      </c>
    </row>
    <row r="4027" s="1" customFormat="1" customHeight="1" spans="1:6">
      <c r="A4027" s="9" t="str">
        <f>"10500113505"</f>
        <v>10500113505</v>
      </c>
      <c r="B4027" s="10">
        <v>39.25</v>
      </c>
      <c r="C4027" s="9"/>
      <c r="D4027" s="9">
        <f t="shared" si="62"/>
        <v>39.25</v>
      </c>
      <c r="E4027" s="11"/>
      <c r="F4027" s="9"/>
    </row>
    <row r="4028" s="1" customFormat="1" customHeight="1" spans="1:6">
      <c r="A4028" s="9" t="str">
        <f>"10130113506"</f>
        <v>10130113506</v>
      </c>
      <c r="B4028" s="10">
        <v>35.87</v>
      </c>
      <c r="C4028" s="9"/>
      <c r="D4028" s="9">
        <f t="shared" si="62"/>
        <v>35.87</v>
      </c>
      <c r="E4028" s="11"/>
      <c r="F4028" s="9"/>
    </row>
    <row r="4029" s="1" customFormat="1" customHeight="1" spans="1:6">
      <c r="A4029" s="9" t="str">
        <f>"10060113507"</f>
        <v>10060113507</v>
      </c>
      <c r="B4029" s="10">
        <v>0</v>
      </c>
      <c r="C4029" s="9"/>
      <c r="D4029" s="9">
        <f t="shared" si="62"/>
        <v>0</v>
      </c>
      <c r="E4029" s="11"/>
      <c r="F4029" s="9" t="s">
        <v>7</v>
      </c>
    </row>
    <row r="4030" s="1" customFormat="1" customHeight="1" spans="1:6">
      <c r="A4030" s="9" t="str">
        <f>"10050113508"</f>
        <v>10050113508</v>
      </c>
      <c r="B4030" s="10">
        <v>0</v>
      </c>
      <c r="C4030" s="9"/>
      <c r="D4030" s="9">
        <f t="shared" si="62"/>
        <v>0</v>
      </c>
      <c r="E4030" s="11"/>
      <c r="F4030" s="9" t="s">
        <v>7</v>
      </c>
    </row>
    <row r="4031" s="1" customFormat="1" customHeight="1" spans="1:6">
      <c r="A4031" s="9" t="str">
        <f>"10060113509"</f>
        <v>10060113509</v>
      </c>
      <c r="B4031" s="10">
        <v>0</v>
      </c>
      <c r="C4031" s="9"/>
      <c r="D4031" s="9">
        <f t="shared" si="62"/>
        <v>0</v>
      </c>
      <c r="E4031" s="11"/>
      <c r="F4031" s="9" t="s">
        <v>7</v>
      </c>
    </row>
    <row r="4032" s="1" customFormat="1" customHeight="1" spans="1:6">
      <c r="A4032" s="9" t="str">
        <f>"10360113510"</f>
        <v>10360113510</v>
      </c>
      <c r="B4032" s="10">
        <v>33.3</v>
      </c>
      <c r="C4032" s="9"/>
      <c r="D4032" s="9">
        <f t="shared" si="62"/>
        <v>33.3</v>
      </c>
      <c r="E4032" s="11"/>
      <c r="F4032" s="9"/>
    </row>
    <row r="4033" s="1" customFormat="1" customHeight="1" spans="1:6">
      <c r="A4033" s="9" t="str">
        <f>"10060113511"</f>
        <v>10060113511</v>
      </c>
      <c r="B4033" s="10">
        <v>0</v>
      </c>
      <c r="C4033" s="9"/>
      <c r="D4033" s="9">
        <f t="shared" si="62"/>
        <v>0</v>
      </c>
      <c r="E4033" s="11"/>
      <c r="F4033" s="9" t="s">
        <v>7</v>
      </c>
    </row>
    <row r="4034" s="1" customFormat="1" customHeight="1" spans="1:6">
      <c r="A4034" s="9" t="str">
        <f>"20180113512"</f>
        <v>20180113512</v>
      </c>
      <c r="B4034" s="10">
        <v>32.9</v>
      </c>
      <c r="C4034" s="9"/>
      <c r="D4034" s="9">
        <f t="shared" si="62"/>
        <v>32.9</v>
      </c>
      <c r="E4034" s="11"/>
      <c r="F4034" s="9"/>
    </row>
    <row r="4035" s="1" customFormat="1" customHeight="1" spans="1:6">
      <c r="A4035" s="9" t="str">
        <f>"10180113513"</f>
        <v>10180113513</v>
      </c>
      <c r="B4035" s="10">
        <v>42.15</v>
      </c>
      <c r="C4035" s="9"/>
      <c r="D4035" s="9">
        <f t="shared" ref="D4035:D4098" si="63">SUM(B4035:C4035)</f>
        <v>42.15</v>
      </c>
      <c r="E4035" s="11"/>
      <c r="F4035" s="9"/>
    </row>
    <row r="4036" s="1" customFormat="1" customHeight="1" spans="1:6">
      <c r="A4036" s="9" t="str">
        <f>"10120113514"</f>
        <v>10120113514</v>
      </c>
      <c r="B4036" s="10">
        <v>45.61</v>
      </c>
      <c r="C4036" s="9"/>
      <c r="D4036" s="9">
        <f t="shared" si="63"/>
        <v>45.61</v>
      </c>
      <c r="E4036" s="11"/>
      <c r="F4036" s="9"/>
    </row>
    <row r="4037" s="1" customFormat="1" customHeight="1" spans="1:6">
      <c r="A4037" s="9" t="str">
        <f>"10480113515"</f>
        <v>10480113515</v>
      </c>
      <c r="B4037" s="10">
        <v>48.21</v>
      </c>
      <c r="C4037" s="9"/>
      <c r="D4037" s="9">
        <f t="shared" si="63"/>
        <v>48.21</v>
      </c>
      <c r="E4037" s="11"/>
      <c r="F4037" s="9"/>
    </row>
    <row r="4038" s="1" customFormat="1" customHeight="1" spans="1:6">
      <c r="A4038" s="9" t="str">
        <f>"10330113516"</f>
        <v>10330113516</v>
      </c>
      <c r="B4038" s="10">
        <v>32.57</v>
      </c>
      <c r="C4038" s="9"/>
      <c r="D4038" s="9">
        <f t="shared" si="63"/>
        <v>32.57</v>
      </c>
      <c r="E4038" s="11"/>
      <c r="F4038" s="9"/>
    </row>
    <row r="4039" s="1" customFormat="1" customHeight="1" spans="1:6">
      <c r="A4039" s="9" t="str">
        <f>"10080113517"</f>
        <v>10080113517</v>
      </c>
      <c r="B4039" s="10">
        <v>0</v>
      </c>
      <c r="C4039" s="9"/>
      <c r="D4039" s="9">
        <f t="shared" si="63"/>
        <v>0</v>
      </c>
      <c r="E4039" s="11"/>
      <c r="F4039" s="9" t="s">
        <v>7</v>
      </c>
    </row>
    <row r="4040" s="1" customFormat="1" customHeight="1" spans="1:6">
      <c r="A4040" s="9" t="str">
        <f>"10360113518"</f>
        <v>10360113518</v>
      </c>
      <c r="B4040" s="10">
        <v>28.42</v>
      </c>
      <c r="C4040" s="9"/>
      <c r="D4040" s="9">
        <f t="shared" si="63"/>
        <v>28.42</v>
      </c>
      <c r="E4040" s="11"/>
      <c r="F4040" s="9"/>
    </row>
    <row r="4041" s="1" customFormat="1" customHeight="1" spans="1:6">
      <c r="A4041" s="9" t="str">
        <f>"10090113519"</f>
        <v>10090113519</v>
      </c>
      <c r="B4041" s="10">
        <v>47.78</v>
      </c>
      <c r="C4041" s="9"/>
      <c r="D4041" s="9">
        <f t="shared" si="63"/>
        <v>47.78</v>
      </c>
      <c r="E4041" s="11"/>
      <c r="F4041" s="9"/>
    </row>
    <row r="4042" s="1" customFormat="1" customHeight="1" spans="1:6">
      <c r="A4042" s="9" t="str">
        <f>"10300113520"</f>
        <v>10300113520</v>
      </c>
      <c r="B4042" s="10">
        <v>0</v>
      </c>
      <c r="C4042" s="9"/>
      <c r="D4042" s="9">
        <f t="shared" si="63"/>
        <v>0</v>
      </c>
      <c r="E4042" s="11"/>
      <c r="F4042" s="9" t="s">
        <v>7</v>
      </c>
    </row>
    <row r="4043" s="1" customFormat="1" customHeight="1" spans="1:6">
      <c r="A4043" s="9" t="str">
        <f>"10160113521"</f>
        <v>10160113521</v>
      </c>
      <c r="B4043" s="10">
        <v>0</v>
      </c>
      <c r="C4043" s="9"/>
      <c r="D4043" s="9">
        <f t="shared" si="63"/>
        <v>0</v>
      </c>
      <c r="E4043" s="11"/>
      <c r="F4043" s="9" t="s">
        <v>7</v>
      </c>
    </row>
    <row r="4044" s="1" customFormat="1" customHeight="1" spans="1:6">
      <c r="A4044" s="9" t="str">
        <f>"10360113522"</f>
        <v>10360113522</v>
      </c>
      <c r="B4044" s="10">
        <v>0</v>
      </c>
      <c r="C4044" s="9"/>
      <c r="D4044" s="9">
        <f t="shared" si="63"/>
        <v>0</v>
      </c>
      <c r="E4044" s="11"/>
      <c r="F4044" s="9" t="s">
        <v>7</v>
      </c>
    </row>
    <row r="4045" s="1" customFormat="1" customHeight="1" spans="1:6">
      <c r="A4045" s="9" t="str">
        <f>"10380113523"</f>
        <v>10380113523</v>
      </c>
      <c r="B4045" s="10">
        <v>42.55</v>
      </c>
      <c r="C4045" s="9"/>
      <c r="D4045" s="9">
        <f t="shared" si="63"/>
        <v>42.55</v>
      </c>
      <c r="E4045" s="11"/>
      <c r="F4045" s="9"/>
    </row>
    <row r="4046" s="1" customFormat="1" customHeight="1" spans="1:6">
      <c r="A4046" s="9" t="str">
        <f>"10090113524"</f>
        <v>10090113524</v>
      </c>
      <c r="B4046" s="10">
        <v>43.27</v>
      </c>
      <c r="C4046" s="9"/>
      <c r="D4046" s="9">
        <f t="shared" si="63"/>
        <v>43.27</v>
      </c>
      <c r="E4046" s="11"/>
      <c r="F4046" s="9"/>
    </row>
    <row r="4047" s="1" customFormat="1" customHeight="1" spans="1:6">
      <c r="A4047" s="9" t="str">
        <f>"10290113525"</f>
        <v>10290113525</v>
      </c>
      <c r="B4047" s="10">
        <v>48.69</v>
      </c>
      <c r="C4047" s="9"/>
      <c r="D4047" s="9">
        <f t="shared" si="63"/>
        <v>48.69</v>
      </c>
      <c r="E4047" s="11"/>
      <c r="F4047" s="9"/>
    </row>
    <row r="4048" s="1" customFormat="1" customHeight="1" spans="1:6">
      <c r="A4048" s="9" t="str">
        <f>"10210113526"</f>
        <v>10210113526</v>
      </c>
      <c r="B4048" s="10">
        <v>0</v>
      </c>
      <c r="C4048" s="9"/>
      <c r="D4048" s="9">
        <f t="shared" si="63"/>
        <v>0</v>
      </c>
      <c r="E4048" s="11"/>
      <c r="F4048" s="9" t="s">
        <v>7</v>
      </c>
    </row>
    <row r="4049" s="1" customFormat="1" customHeight="1" spans="1:6">
      <c r="A4049" s="9" t="str">
        <f>"10360113527"</f>
        <v>10360113527</v>
      </c>
      <c r="B4049" s="10">
        <v>43.49</v>
      </c>
      <c r="C4049" s="9"/>
      <c r="D4049" s="9">
        <f t="shared" si="63"/>
        <v>43.49</v>
      </c>
      <c r="E4049" s="11"/>
      <c r="F4049" s="9"/>
    </row>
    <row r="4050" s="1" customFormat="1" customHeight="1" spans="1:6">
      <c r="A4050" s="9" t="str">
        <f>"10300113528"</f>
        <v>10300113528</v>
      </c>
      <c r="B4050" s="10">
        <v>0</v>
      </c>
      <c r="C4050" s="9"/>
      <c r="D4050" s="9">
        <f t="shared" si="63"/>
        <v>0</v>
      </c>
      <c r="E4050" s="11"/>
      <c r="F4050" s="9" t="s">
        <v>7</v>
      </c>
    </row>
    <row r="4051" s="1" customFormat="1" customHeight="1" spans="1:6">
      <c r="A4051" s="9" t="str">
        <f>"10010113529"</f>
        <v>10010113529</v>
      </c>
      <c r="B4051" s="10">
        <v>47.86</v>
      </c>
      <c r="C4051" s="9"/>
      <c r="D4051" s="9">
        <f t="shared" si="63"/>
        <v>47.86</v>
      </c>
      <c r="E4051" s="11"/>
      <c r="F4051" s="9"/>
    </row>
    <row r="4052" s="1" customFormat="1" customHeight="1" spans="1:6">
      <c r="A4052" s="9" t="str">
        <f>"10080113530"</f>
        <v>10080113530</v>
      </c>
      <c r="B4052" s="10">
        <v>0</v>
      </c>
      <c r="C4052" s="9"/>
      <c r="D4052" s="9">
        <f t="shared" si="63"/>
        <v>0</v>
      </c>
      <c r="E4052" s="11"/>
      <c r="F4052" s="9" t="s">
        <v>7</v>
      </c>
    </row>
    <row r="4053" s="1" customFormat="1" customHeight="1" spans="1:6">
      <c r="A4053" s="9" t="str">
        <f>"10530113601"</f>
        <v>10530113601</v>
      </c>
      <c r="B4053" s="10">
        <v>0</v>
      </c>
      <c r="C4053" s="9"/>
      <c r="D4053" s="9">
        <f t="shared" si="63"/>
        <v>0</v>
      </c>
      <c r="E4053" s="11"/>
      <c r="F4053" s="9" t="s">
        <v>7</v>
      </c>
    </row>
    <row r="4054" s="1" customFormat="1" customHeight="1" spans="1:6">
      <c r="A4054" s="9" t="str">
        <f>"10280113602"</f>
        <v>10280113602</v>
      </c>
      <c r="B4054" s="10">
        <v>42.95</v>
      </c>
      <c r="C4054" s="9"/>
      <c r="D4054" s="9">
        <f t="shared" si="63"/>
        <v>42.95</v>
      </c>
      <c r="E4054" s="11"/>
      <c r="F4054" s="9"/>
    </row>
    <row r="4055" s="1" customFormat="1" customHeight="1" spans="1:6">
      <c r="A4055" s="9" t="str">
        <f>"10360113603"</f>
        <v>10360113603</v>
      </c>
      <c r="B4055" s="10">
        <v>36.33</v>
      </c>
      <c r="C4055" s="9"/>
      <c r="D4055" s="9">
        <f t="shared" si="63"/>
        <v>36.33</v>
      </c>
      <c r="E4055" s="11"/>
      <c r="F4055" s="9"/>
    </row>
    <row r="4056" s="1" customFormat="1" customHeight="1" spans="1:6">
      <c r="A4056" s="9" t="str">
        <f>"10320113604"</f>
        <v>10320113604</v>
      </c>
      <c r="B4056" s="10">
        <v>34.62</v>
      </c>
      <c r="C4056" s="9"/>
      <c r="D4056" s="9">
        <f t="shared" si="63"/>
        <v>34.62</v>
      </c>
      <c r="E4056" s="11"/>
      <c r="F4056" s="9"/>
    </row>
    <row r="4057" s="1" customFormat="1" customHeight="1" spans="1:6">
      <c r="A4057" s="9" t="str">
        <f>"10480113605"</f>
        <v>10480113605</v>
      </c>
      <c r="B4057" s="10">
        <v>0</v>
      </c>
      <c r="C4057" s="9"/>
      <c r="D4057" s="9">
        <f t="shared" si="63"/>
        <v>0</v>
      </c>
      <c r="E4057" s="11"/>
      <c r="F4057" s="9" t="s">
        <v>7</v>
      </c>
    </row>
    <row r="4058" s="1" customFormat="1" customHeight="1" spans="1:6">
      <c r="A4058" s="9" t="str">
        <f>"10360113606"</f>
        <v>10360113606</v>
      </c>
      <c r="B4058" s="10">
        <v>36.41</v>
      </c>
      <c r="C4058" s="9"/>
      <c r="D4058" s="9">
        <f t="shared" si="63"/>
        <v>36.41</v>
      </c>
      <c r="E4058" s="11"/>
      <c r="F4058" s="9"/>
    </row>
    <row r="4059" s="1" customFormat="1" customHeight="1" spans="1:6">
      <c r="A4059" s="9" t="str">
        <f>"10360113607"</f>
        <v>10360113607</v>
      </c>
      <c r="B4059" s="10">
        <v>0</v>
      </c>
      <c r="C4059" s="9"/>
      <c r="D4059" s="9">
        <f t="shared" si="63"/>
        <v>0</v>
      </c>
      <c r="E4059" s="11"/>
      <c r="F4059" s="9" t="s">
        <v>7</v>
      </c>
    </row>
    <row r="4060" s="1" customFormat="1" customHeight="1" spans="1:6">
      <c r="A4060" s="9" t="str">
        <f>"10200113608"</f>
        <v>10200113608</v>
      </c>
      <c r="B4060" s="10">
        <v>0</v>
      </c>
      <c r="C4060" s="9"/>
      <c r="D4060" s="9">
        <f t="shared" si="63"/>
        <v>0</v>
      </c>
      <c r="E4060" s="11"/>
      <c r="F4060" s="9" t="s">
        <v>7</v>
      </c>
    </row>
    <row r="4061" s="1" customFormat="1" customHeight="1" spans="1:6">
      <c r="A4061" s="9" t="str">
        <f>"10300113609"</f>
        <v>10300113609</v>
      </c>
      <c r="B4061" s="10">
        <v>0</v>
      </c>
      <c r="C4061" s="9"/>
      <c r="D4061" s="9">
        <f t="shared" si="63"/>
        <v>0</v>
      </c>
      <c r="E4061" s="11"/>
      <c r="F4061" s="9" t="s">
        <v>7</v>
      </c>
    </row>
    <row r="4062" s="1" customFormat="1" customHeight="1" spans="1:6">
      <c r="A4062" s="9" t="str">
        <f>"10530113610"</f>
        <v>10530113610</v>
      </c>
      <c r="B4062" s="10">
        <v>0</v>
      </c>
      <c r="C4062" s="9"/>
      <c r="D4062" s="9">
        <f t="shared" si="63"/>
        <v>0</v>
      </c>
      <c r="E4062" s="11"/>
      <c r="F4062" s="9" t="s">
        <v>7</v>
      </c>
    </row>
    <row r="4063" s="1" customFormat="1" customHeight="1" spans="1:6">
      <c r="A4063" s="9" t="str">
        <f>"20270113611"</f>
        <v>20270113611</v>
      </c>
      <c r="B4063" s="10">
        <v>0</v>
      </c>
      <c r="C4063" s="9"/>
      <c r="D4063" s="9">
        <f t="shared" si="63"/>
        <v>0</v>
      </c>
      <c r="E4063" s="11"/>
      <c r="F4063" s="9" t="s">
        <v>7</v>
      </c>
    </row>
    <row r="4064" s="1" customFormat="1" customHeight="1" spans="1:6">
      <c r="A4064" s="9" t="str">
        <f>"10290113612"</f>
        <v>10290113612</v>
      </c>
      <c r="B4064" s="10">
        <v>42.2</v>
      </c>
      <c r="C4064" s="9"/>
      <c r="D4064" s="9">
        <f t="shared" si="63"/>
        <v>42.2</v>
      </c>
      <c r="E4064" s="11"/>
      <c r="F4064" s="9"/>
    </row>
    <row r="4065" s="1" customFormat="1" customHeight="1" spans="1:6">
      <c r="A4065" s="9" t="str">
        <f>"10360113613"</f>
        <v>10360113613</v>
      </c>
      <c r="B4065" s="10">
        <v>0</v>
      </c>
      <c r="C4065" s="9"/>
      <c r="D4065" s="9">
        <f t="shared" si="63"/>
        <v>0</v>
      </c>
      <c r="E4065" s="11"/>
      <c r="F4065" s="9" t="s">
        <v>7</v>
      </c>
    </row>
    <row r="4066" s="1" customFormat="1" customHeight="1" spans="1:6">
      <c r="A4066" s="9" t="str">
        <f>"10290113614"</f>
        <v>10290113614</v>
      </c>
      <c r="B4066" s="10">
        <v>0</v>
      </c>
      <c r="C4066" s="9"/>
      <c r="D4066" s="9">
        <f t="shared" si="63"/>
        <v>0</v>
      </c>
      <c r="E4066" s="11"/>
      <c r="F4066" s="9" t="s">
        <v>7</v>
      </c>
    </row>
    <row r="4067" s="1" customFormat="1" customHeight="1" spans="1:6">
      <c r="A4067" s="9" t="str">
        <f>"10320113615"</f>
        <v>10320113615</v>
      </c>
      <c r="B4067" s="10">
        <v>43.55</v>
      </c>
      <c r="C4067" s="9"/>
      <c r="D4067" s="9">
        <f t="shared" si="63"/>
        <v>43.55</v>
      </c>
      <c r="E4067" s="11"/>
      <c r="F4067" s="9"/>
    </row>
    <row r="4068" s="1" customFormat="1" customHeight="1" spans="1:6">
      <c r="A4068" s="9" t="str">
        <f>"10060113616"</f>
        <v>10060113616</v>
      </c>
      <c r="B4068" s="10">
        <v>41.56</v>
      </c>
      <c r="C4068" s="9"/>
      <c r="D4068" s="9">
        <f t="shared" si="63"/>
        <v>41.56</v>
      </c>
      <c r="E4068" s="11"/>
      <c r="F4068" s="9"/>
    </row>
    <row r="4069" s="1" customFormat="1" customHeight="1" spans="1:6">
      <c r="A4069" s="9" t="str">
        <f>"10360113617"</f>
        <v>10360113617</v>
      </c>
      <c r="B4069" s="10">
        <v>37.27</v>
      </c>
      <c r="C4069" s="9"/>
      <c r="D4069" s="9">
        <f t="shared" si="63"/>
        <v>37.27</v>
      </c>
      <c r="E4069" s="11"/>
      <c r="F4069" s="9"/>
    </row>
    <row r="4070" s="1" customFormat="1" customHeight="1" spans="1:6">
      <c r="A4070" s="9" t="str">
        <f>"20270113618"</f>
        <v>20270113618</v>
      </c>
      <c r="B4070" s="10">
        <v>45.09</v>
      </c>
      <c r="C4070" s="9"/>
      <c r="D4070" s="9">
        <f t="shared" si="63"/>
        <v>45.09</v>
      </c>
      <c r="E4070" s="11"/>
      <c r="F4070" s="9"/>
    </row>
    <row r="4071" s="1" customFormat="1" customHeight="1" spans="1:6">
      <c r="A4071" s="9" t="str">
        <f>"10360113619"</f>
        <v>10360113619</v>
      </c>
      <c r="B4071" s="10">
        <v>30.48</v>
      </c>
      <c r="C4071" s="9"/>
      <c r="D4071" s="9">
        <f t="shared" si="63"/>
        <v>30.48</v>
      </c>
      <c r="E4071" s="11"/>
      <c r="F4071" s="9"/>
    </row>
    <row r="4072" s="1" customFormat="1" customHeight="1" spans="1:6">
      <c r="A4072" s="9" t="str">
        <f>"10370113620"</f>
        <v>10370113620</v>
      </c>
      <c r="B4072" s="10">
        <v>0</v>
      </c>
      <c r="C4072" s="9"/>
      <c r="D4072" s="9">
        <f t="shared" si="63"/>
        <v>0</v>
      </c>
      <c r="E4072" s="11"/>
      <c r="F4072" s="9" t="s">
        <v>7</v>
      </c>
    </row>
    <row r="4073" s="1" customFormat="1" customHeight="1" spans="1:6">
      <c r="A4073" s="9" t="str">
        <f>"10130113621"</f>
        <v>10130113621</v>
      </c>
      <c r="B4073" s="10">
        <v>42.93</v>
      </c>
      <c r="C4073" s="9"/>
      <c r="D4073" s="9">
        <f t="shared" si="63"/>
        <v>42.93</v>
      </c>
      <c r="E4073" s="11"/>
      <c r="F4073" s="9"/>
    </row>
    <row r="4074" s="1" customFormat="1" customHeight="1" spans="1:6">
      <c r="A4074" s="9" t="str">
        <f>"10360113622"</f>
        <v>10360113622</v>
      </c>
      <c r="B4074" s="10">
        <v>34.23</v>
      </c>
      <c r="C4074" s="9"/>
      <c r="D4074" s="9">
        <f t="shared" si="63"/>
        <v>34.23</v>
      </c>
      <c r="E4074" s="11"/>
      <c r="F4074" s="9"/>
    </row>
    <row r="4075" s="1" customFormat="1" customHeight="1" spans="1:6">
      <c r="A4075" s="9" t="str">
        <f>"10530113623"</f>
        <v>10530113623</v>
      </c>
      <c r="B4075" s="10">
        <v>32.39</v>
      </c>
      <c r="C4075" s="9"/>
      <c r="D4075" s="9">
        <f t="shared" si="63"/>
        <v>32.39</v>
      </c>
      <c r="E4075" s="11"/>
      <c r="F4075" s="9"/>
    </row>
    <row r="4076" s="1" customFormat="1" customHeight="1" spans="1:6">
      <c r="A4076" s="9" t="str">
        <f>"10150113624"</f>
        <v>10150113624</v>
      </c>
      <c r="B4076" s="10">
        <v>50.11</v>
      </c>
      <c r="C4076" s="9"/>
      <c r="D4076" s="9">
        <f t="shared" si="63"/>
        <v>50.11</v>
      </c>
      <c r="E4076" s="11"/>
      <c r="F4076" s="9"/>
    </row>
    <row r="4077" s="1" customFormat="1" customHeight="1" spans="1:6">
      <c r="A4077" s="9" t="str">
        <f>"10530113625"</f>
        <v>10530113625</v>
      </c>
      <c r="B4077" s="10">
        <v>31.09</v>
      </c>
      <c r="C4077" s="9"/>
      <c r="D4077" s="9">
        <f t="shared" si="63"/>
        <v>31.09</v>
      </c>
      <c r="E4077" s="11"/>
      <c r="F4077" s="9"/>
    </row>
    <row r="4078" s="1" customFormat="1" customHeight="1" spans="1:6">
      <c r="A4078" s="9" t="str">
        <f>"10240113626"</f>
        <v>10240113626</v>
      </c>
      <c r="B4078" s="10">
        <v>0</v>
      </c>
      <c r="C4078" s="9"/>
      <c r="D4078" s="9">
        <f t="shared" si="63"/>
        <v>0</v>
      </c>
      <c r="E4078" s="11"/>
      <c r="F4078" s="9" t="s">
        <v>7</v>
      </c>
    </row>
    <row r="4079" s="1" customFormat="1" customHeight="1" spans="1:6">
      <c r="A4079" s="9" t="str">
        <f>"10240113627"</f>
        <v>10240113627</v>
      </c>
      <c r="B4079" s="10">
        <v>41.12</v>
      </c>
      <c r="C4079" s="9"/>
      <c r="D4079" s="9">
        <f t="shared" si="63"/>
        <v>41.12</v>
      </c>
      <c r="E4079" s="11"/>
      <c r="F4079" s="9"/>
    </row>
    <row r="4080" s="1" customFormat="1" customHeight="1" spans="1:6">
      <c r="A4080" s="9" t="str">
        <f>"10490113628"</f>
        <v>10490113628</v>
      </c>
      <c r="B4080" s="10">
        <v>0</v>
      </c>
      <c r="C4080" s="9"/>
      <c r="D4080" s="9">
        <f t="shared" si="63"/>
        <v>0</v>
      </c>
      <c r="E4080" s="11"/>
      <c r="F4080" s="9" t="s">
        <v>7</v>
      </c>
    </row>
    <row r="4081" s="1" customFormat="1" customHeight="1" spans="1:6">
      <c r="A4081" s="9" t="str">
        <f>"10200113629"</f>
        <v>10200113629</v>
      </c>
      <c r="B4081" s="10">
        <v>48.9</v>
      </c>
      <c r="C4081" s="9"/>
      <c r="D4081" s="9">
        <f t="shared" si="63"/>
        <v>48.9</v>
      </c>
      <c r="E4081" s="11"/>
      <c r="F4081" s="9"/>
    </row>
    <row r="4082" s="1" customFormat="1" customHeight="1" spans="1:6">
      <c r="A4082" s="9" t="str">
        <f>"10530113630"</f>
        <v>10530113630</v>
      </c>
      <c r="B4082" s="10">
        <v>47.39</v>
      </c>
      <c r="C4082" s="9"/>
      <c r="D4082" s="9">
        <f t="shared" si="63"/>
        <v>47.39</v>
      </c>
      <c r="E4082" s="11"/>
      <c r="F4082" s="9"/>
    </row>
    <row r="4083" s="1" customFormat="1" customHeight="1" spans="1:6">
      <c r="A4083" s="9" t="str">
        <f>"10520113701"</f>
        <v>10520113701</v>
      </c>
      <c r="B4083" s="10">
        <v>41.14</v>
      </c>
      <c r="C4083" s="9"/>
      <c r="D4083" s="9">
        <f t="shared" si="63"/>
        <v>41.14</v>
      </c>
      <c r="E4083" s="11"/>
      <c r="F4083" s="9"/>
    </row>
    <row r="4084" s="1" customFormat="1" customHeight="1" spans="1:6">
      <c r="A4084" s="9" t="str">
        <f>"10360113702"</f>
        <v>10360113702</v>
      </c>
      <c r="B4084" s="10">
        <v>34.28</v>
      </c>
      <c r="C4084" s="9"/>
      <c r="D4084" s="9">
        <f t="shared" si="63"/>
        <v>34.28</v>
      </c>
      <c r="E4084" s="11"/>
      <c r="F4084" s="9"/>
    </row>
    <row r="4085" s="1" customFormat="1" customHeight="1" spans="1:6">
      <c r="A4085" s="9" t="str">
        <f>"10160113703"</f>
        <v>10160113703</v>
      </c>
      <c r="B4085" s="10">
        <v>0</v>
      </c>
      <c r="C4085" s="9"/>
      <c r="D4085" s="9">
        <f t="shared" si="63"/>
        <v>0</v>
      </c>
      <c r="E4085" s="11"/>
      <c r="F4085" s="9" t="s">
        <v>7</v>
      </c>
    </row>
    <row r="4086" s="1" customFormat="1" customHeight="1" spans="1:6">
      <c r="A4086" s="9" t="str">
        <f>"10200113704"</f>
        <v>10200113704</v>
      </c>
      <c r="B4086" s="10">
        <v>39.03</v>
      </c>
      <c r="C4086" s="9"/>
      <c r="D4086" s="9">
        <f t="shared" si="63"/>
        <v>39.03</v>
      </c>
      <c r="E4086" s="11"/>
      <c r="F4086" s="9"/>
    </row>
    <row r="4087" s="1" customFormat="1" customHeight="1" spans="1:6">
      <c r="A4087" s="9" t="str">
        <f>"20180113705"</f>
        <v>20180113705</v>
      </c>
      <c r="B4087" s="10">
        <v>0</v>
      </c>
      <c r="C4087" s="9"/>
      <c r="D4087" s="9">
        <f t="shared" si="63"/>
        <v>0</v>
      </c>
      <c r="E4087" s="11"/>
      <c r="F4087" s="9" t="s">
        <v>7</v>
      </c>
    </row>
    <row r="4088" s="1" customFormat="1" customHeight="1" spans="1:6">
      <c r="A4088" s="9" t="str">
        <f>"10300113706"</f>
        <v>10300113706</v>
      </c>
      <c r="B4088" s="10">
        <v>0</v>
      </c>
      <c r="C4088" s="9"/>
      <c r="D4088" s="9">
        <f t="shared" si="63"/>
        <v>0</v>
      </c>
      <c r="E4088" s="11"/>
      <c r="F4088" s="9" t="s">
        <v>7</v>
      </c>
    </row>
    <row r="4089" s="1" customFormat="1" customHeight="1" spans="1:6">
      <c r="A4089" s="9" t="str">
        <f>"10130113707"</f>
        <v>10130113707</v>
      </c>
      <c r="B4089" s="10">
        <v>0</v>
      </c>
      <c r="C4089" s="9"/>
      <c r="D4089" s="9">
        <f t="shared" si="63"/>
        <v>0</v>
      </c>
      <c r="E4089" s="11"/>
      <c r="F4089" s="9" t="s">
        <v>7</v>
      </c>
    </row>
    <row r="4090" s="1" customFormat="1" customHeight="1" spans="1:6">
      <c r="A4090" s="9" t="str">
        <f>"10140113708"</f>
        <v>10140113708</v>
      </c>
      <c r="B4090" s="10">
        <v>50.02</v>
      </c>
      <c r="C4090" s="9"/>
      <c r="D4090" s="9">
        <f t="shared" si="63"/>
        <v>50.02</v>
      </c>
      <c r="E4090" s="11"/>
      <c r="F4090" s="9"/>
    </row>
    <row r="4091" s="1" customFormat="1" customHeight="1" spans="1:6">
      <c r="A4091" s="9" t="str">
        <f>"10500113709"</f>
        <v>10500113709</v>
      </c>
      <c r="B4091" s="10">
        <v>41.92</v>
      </c>
      <c r="C4091" s="9"/>
      <c r="D4091" s="9">
        <f t="shared" si="63"/>
        <v>41.92</v>
      </c>
      <c r="E4091" s="11"/>
      <c r="F4091" s="9"/>
    </row>
    <row r="4092" s="1" customFormat="1" customHeight="1" spans="1:6">
      <c r="A4092" s="9" t="str">
        <f>"10360113710"</f>
        <v>10360113710</v>
      </c>
      <c r="B4092" s="10">
        <v>51.67</v>
      </c>
      <c r="C4092" s="9">
        <v>10</v>
      </c>
      <c r="D4092" s="9">
        <f t="shared" si="63"/>
        <v>61.67</v>
      </c>
      <c r="E4092" s="12" t="s">
        <v>8</v>
      </c>
      <c r="F4092" s="9"/>
    </row>
    <row r="4093" s="1" customFormat="1" customHeight="1" spans="1:6">
      <c r="A4093" s="9" t="str">
        <f>"10210113711"</f>
        <v>10210113711</v>
      </c>
      <c r="B4093" s="10">
        <v>38.15</v>
      </c>
      <c r="C4093" s="9"/>
      <c r="D4093" s="9">
        <f t="shared" si="63"/>
        <v>38.15</v>
      </c>
      <c r="E4093" s="11"/>
      <c r="F4093" s="9"/>
    </row>
    <row r="4094" s="1" customFormat="1" customHeight="1" spans="1:6">
      <c r="A4094" s="9" t="str">
        <f>"10360113712"</f>
        <v>10360113712</v>
      </c>
      <c r="B4094" s="10">
        <v>35.65</v>
      </c>
      <c r="C4094" s="9"/>
      <c r="D4094" s="9">
        <f t="shared" si="63"/>
        <v>35.65</v>
      </c>
      <c r="E4094" s="11"/>
      <c r="F4094" s="9"/>
    </row>
    <row r="4095" s="1" customFormat="1" customHeight="1" spans="1:6">
      <c r="A4095" s="9" t="str">
        <f>"10330113713"</f>
        <v>10330113713</v>
      </c>
      <c r="B4095" s="10">
        <v>45.89</v>
      </c>
      <c r="C4095" s="9"/>
      <c r="D4095" s="9">
        <f t="shared" si="63"/>
        <v>45.89</v>
      </c>
      <c r="E4095" s="11"/>
      <c r="F4095" s="9"/>
    </row>
    <row r="4096" s="1" customFormat="1" customHeight="1" spans="1:6">
      <c r="A4096" s="9" t="str">
        <f>"10020113714"</f>
        <v>10020113714</v>
      </c>
      <c r="B4096" s="10">
        <v>0</v>
      </c>
      <c r="C4096" s="9"/>
      <c r="D4096" s="9">
        <f t="shared" si="63"/>
        <v>0</v>
      </c>
      <c r="E4096" s="11"/>
      <c r="F4096" s="9" t="s">
        <v>7</v>
      </c>
    </row>
    <row r="4097" s="1" customFormat="1" customHeight="1" spans="1:6">
      <c r="A4097" s="9" t="str">
        <f>"10060113715"</f>
        <v>10060113715</v>
      </c>
      <c r="B4097" s="10">
        <v>41.16</v>
      </c>
      <c r="C4097" s="9"/>
      <c r="D4097" s="9">
        <f t="shared" si="63"/>
        <v>41.16</v>
      </c>
      <c r="E4097" s="11"/>
      <c r="F4097" s="9"/>
    </row>
    <row r="4098" s="1" customFormat="1" customHeight="1" spans="1:6">
      <c r="A4098" s="9" t="str">
        <f>"10300113716"</f>
        <v>10300113716</v>
      </c>
      <c r="B4098" s="10">
        <v>43.64</v>
      </c>
      <c r="C4098" s="9"/>
      <c r="D4098" s="9">
        <f t="shared" si="63"/>
        <v>43.64</v>
      </c>
      <c r="E4098" s="11"/>
      <c r="F4098" s="9"/>
    </row>
    <row r="4099" s="1" customFormat="1" customHeight="1" spans="1:6">
      <c r="A4099" s="9" t="str">
        <f>"10180113717"</f>
        <v>10180113717</v>
      </c>
      <c r="B4099" s="10">
        <v>32.92</v>
      </c>
      <c r="C4099" s="9"/>
      <c r="D4099" s="9">
        <f t="shared" ref="D4099:D4162" si="64">SUM(B4099:C4099)</f>
        <v>32.92</v>
      </c>
      <c r="E4099" s="11"/>
      <c r="F4099" s="9"/>
    </row>
    <row r="4100" s="1" customFormat="1" customHeight="1" spans="1:6">
      <c r="A4100" s="9" t="str">
        <f>"10090113718"</f>
        <v>10090113718</v>
      </c>
      <c r="B4100" s="10">
        <v>40.56</v>
      </c>
      <c r="C4100" s="9"/>
      <c r="D4100" s="9">
        <f t="shared" si="64"/>
        <v>40.56</v>
      </c>
      <c r="E4100" s="11"/>
      <c r="F4100" s="9"/>
    </row>
    <row r="4101" s="1" customFormat="1" customHeight="1" spans="1:6">
      <c r="A4101" s="9" t="str">
        <f>"10080113719"</f>
        <v>10080113719</v>
      </c>
      <c r="B4101" s="10">
        <v>0</v>
      </c>
      <c r="C4101" s="9"/>
      <c r="D4101" s="9">
        <f t="shared" si="64"/>
        <v>0</v>
      </c>
      <c r="E4101" s="11"/>
      <c r="F4101" s="9" t="s">
        <v>7</v>
      </c>
    </row>
    <row r="4102" s="1" customFormat="1" customHeight="1" spans="1:6">
      <c r="A4102" s="9" t="str">
        <f>"10360113720"</f>
        <v>10360113720</v>
      </c>
      <c r="B4102" s="10">
        <v>33.45</v>
      </c>
      <c r="C4102" s="9"/>
      <c r="D4102" s="9">
        <f t="shared" si="64"/>
        <v>33.45</v>
      </c>
      <c r="E4102" s="11"/>
      <c r="F4102" s="9"/>
    </row>
    <row r="4103" s="1" customFormat="1" customHeight="1" spans="1:6">
      <c r="A4103" s="9" t="str">
        <f>"10300113721"</f>
        <v>10300113721</v>
      </c>
      <c r="B4103" s="10">
        <v>0</v>
      </c>
      <c r="C4103" s="9"/>
      <c r="D4103" s="9">
        <f t="shared" si="64"/>
        <v>0</v>
      </c>
      <c r="E4103" s="11"/>
      <c r="F4103" s="9" t="s">
        <v>7</v>
      </c>
    </row>
    <row r="4104" s="1" customFormat="1" customHeight="1" spans="1:6">
      <c r="A4104" s="9" t="str">
        <f>"10470113722"</f>
        <v>10470113722</v>
      </c>
      <c r="B4104" s="10">
        <v>53.79</v>
      </c>
      <c r="C4104" s="9"/>
      <c r="D4104" s="9">
        <f t="shared" si="64"/>
        <v>53.79</v>
      </c>
      <c r="E4104" s="11"/>
      <c r="F4104" s="9"/>
    </row>
    <row r="4105" s="1" customFormat="1" customHeight="1" spans="1:6">
      <c r="A4105" s="9" t="str">
        <f>"20270113723"</f>
        <v>20270113723</v>
      </c>
      <c r="B4105" s="10">
        <v>0</v>
      </c>
      <c r="C4105" s="9"/>
      <c r="D4105" s="9">
        <f t="shared" si="64"/>
        <v>0</v>
      </c>
      <c r="E4105" s="11"/>
      <c r="F4105" s="9" t="s">
        <v>7</v>
      </c>
    </row>
    <row r="4106" s="1" customFormat="1" customHeight="1" spans="1:6">
      <c r="A4106" s="9" t="str">
        <f>"10410113724"</f>
        <v>10410113724</v>
      </c>
      <c r="B4106" s="10">
        <v>36.1</v>
      </c>
      <c r="C4106" s="9"/>
      <c r="D4106" s="9">
        <f t="shared" si="64"/>
        <v>36.1</v>
      </c>
      <c r="E4106" s="11"/>
      <c r="F4106" s="9"/>
    </row>
    <row r="4107" s="1" customFormat="1" customHeight="1" spans="1:6">
      <c r="A4107" s="9" t="str">
        <f>"10530113725"</f>
        <v>10530113725</v>
      </c>
      <c r="B4107" s="10">
        <v>47.42</v>
      </c>
      <c r="C4107" s="9"/>
      <c r="D4107" s="9">
        <f t="shared" si="64"/>
        <v>47.42</v>
      </c>
      <c r="E4107" s="11"/>
      <c r="F4107" s="9"/>
    </row>
    <row r="4108" s="1" customFormat="1" customHeight="1" spans="1:6">
      <c r="A4108" s="9" t="str">
        <f>"10360113726"</f>
        <v>10360113726</v>
      </c>
      <c r="B4108" s="10">
        <v>0</v>
      </c>
      <c r="C4108" s="9"/>
      <c r="D4108" s="9">
        <f t="shared" si="64"/>
        <v>0</v>
      </c>
      <c r="E4108" s="11"/>
      <c r="F4108" s="9" t="s">
        <v>7</v>
      </c>
    </row>
    <row r="4109" s="1" customFormat="1" customHeight="1" spans="1:6">
      <c r="A4109" s="9" t="str">
        <f>"10360113727"</f>
        <v>10360113727</v>
      </c>
      <c r="B4109" s="10">
        <v>0</v>
      </c>
      <c r="C4109" s="9"/>
      <c r="D4109" s="9">
        <f t="shared" si="64"/>
        <v>0</v>
      </c>
      <c r="E4109" s="11"/>
      <c r="F4109" s="9" t="s">
        <v>7</v>
      </c>
    </row>
    <row r="4110" s="1" customFormat="1" customHeight="1" spans="1:6">
      <c r="A4110" s="9" t="str">
        <f>"10360113728"</f>
        <v>10360113728</v>
      </c>
      <c r="B4110" s="10">
        <v>35.58</v>
      </c>
      <c r="C4110" s="9"/>
      <c r="D4110" s="9">
        <f t="shared" si="64"/>
        <v>35.58</v>
      </c>
      <c r="E4110" s="11"/>
      <c r="F4110" s="9"/>
    </row>
    <row r="4111" s="1" customFormat="1" customHeight="1" spans="1:6">
      <c r="A4111" s="9" t="str">
        <f>"10330113729"</f>
        <v>10330113729</v>
      </c>
      <c r="B4111" s="10">
        <v>43.66</v>
      </c>
      <c r="C4111" s="9"/>
      <c r="D4111" s="9">
        <f t="shared" si="64"/>
        <v>43.66</v>
      </c>
      <c r="E4111" s="11"/>
      <c r="F4111" s="9"/>
    </row>
    <row r="4112" s="1" customFormat="1" customHeight="1" spans="1:6">
      <c r="A4112" s="9" t="str">
        <f>"10170113730"</f>
        <v>10170113730</v>
      </c>
      <c r="B4112" s="10">
        <v>39.46</v>
      </c>
      <c r="C4112" s="9"/>
      <c r="D4112" s="9">
        <f t="shared" si="64"/>
        <v>39.46</v>
      </c>
      <c r="E4112" s="11"/>
      <c r="F4112" s="9"/>
    </row>
    <row r="4113" s="1" customFormat="1" customHeight="1" spans="1:6">
      <c r="A4113" s="9" t="str">
        <f>"10090113801"</f>
        <v>10090113801</v>
      </c>
      <c r="B4113" s="10">
        <v>36.7</v>
      </c>
      <c r="C4113" s="9"/>
      <c r="D4113" s="9">
        <f t="shared" si="64"/>
        <v>36.7</v>
      </c>
      <c r="E4113" s="11"/>
      <c r="F4113" s="9"/>
    </row>
    <row r="4114" s="1" customFormat="1" customHeight="1" spans="1:6">
      <c r="A4114" s="9" t="str">
        <f>"10360113802"</f>
        <v>10360113802</v>
      </c>
      <c r="B4114" s="10">
        <v>0</v>
      </c>
      <c r="C4114" s="9"/>
      <c r="D4114" s="9">
        <f t="shared" si="64"/>
        <v>0</v>
      </c>
      <c r="E4114" s="11"/>
      <c r="F4114" s="9" t="s">
        <v>7</v>
      </c>
    </row>
    <row r="4115" s="1" customFormat="1" customHeight="1" spans="1:6">
      <c r="A4115" s="9" t="str">
        <f>"10270113803"</f>
        <v>10270113803</v>
      </c>
      <c r="B4115" s="10">
        <v>34.79</v>
      </c>
      <c r="C4115" s="9"/>
      <c r="D4115" s="9">
        <f t="shared" si="64"/>
        <v>34.79</v>
      </c>
      <c r="E4115" s="11"/>
      <c r="F4115" s="9"/>
    </row>
    <row r="4116" s="1" customFormat="1" customHeight="1" spans="1:6">
      <c r="A4116" s="9" t="str">
        <f>"10090113804"</f>
        <v>10090113804</v>
      </c>
      <c r="B4116" s="10">
        <v>0</v>
      </c>
      <c r="C4116" s="9"/>
      <c r="D4116" s="9">
        <f t="shared" si="64"/>
        <v>0</v>
      </c>
      <c r="E4116" s="11"/>
      <c r="F4116" s="9" t="s">
        <v>7</v>
      </c>
    </row>
    <row r="4117" s="1" customFormat="1" customHeight="1" spans="1:6">
      <c r="A4117" s="9" t="str">
        <f>"10010113805"</f>
        <v>10010113805</v>
      </c>
      <c r="B4117" s="10">
        <v>51.77</v>
      </c>
      <c r="C4117" s="9"/>
      <c r="D4117" s="9">
        <f t="shared" si="64"/>
        <v>51.77</v>
      </c>
      <c r="E4117" s="11"/>
      <c r="F4117" s="9"/>
    </row>
    <row r="4118" s="1" customFormat="1" customHeight="1" spans="1:6">
      <c r="A4118" s="9" t="str">
        <f>"10260113806"</f>
        <v>10260113806</v>
      </c>
      <c r="B4118" s="10">
        <v>30.06</v>
      </c>
      <c r="C4118" s="9"/>
      <c r="D4118" s="9">
        <f t="shared" si="64"/>
        <v>30.06</v>
      </c>
      <c r="E4118" s="11"/>
      <c r="F4118" s="9"/>
    </row>
    <row r="4119" s="1" customFormat="1" customHeight="1" spans="1:6">
      <c r="A4119" s="9" t="str">
        <f>"10430113807"</f>
        <v>10430113807</v>
      </c>
      <c r="B4119" s="10">
        <v>37.11</v>
      </c>
      <c r="C4119" s="9"/>
      <c r="D4119" s="9">
        <f t="shared" si="64"/>
        <v>37.11</v>
      </c>
      <c r="E4119" s="11"/>
      <c r="F4119" s="9"/>
    </row>
    <row r="4120" s="1" customFormat="1" customHeight="1" spans="1:6">
      <c r="A4120" s="9" t="str">
        <f>"10530113808"</f>
        <v>10530113808</v>
      </c>
      <c r="B4120" s="10">
        <v>32.73</v>
      </c>
      <c r="C4120" s="9"/>
      <c r="D4120" s="9">
        <f t="shared" si="64"/>
        <v>32.73</v>
      </c>
      <c r="E4120" s="11"/>
      <c r="F4120" s="9"/>
    </row>
    <row r="4121" s="1" customFormat="1" customHeight="1" spans="1:6">
      <c r="A4121" s="9" t="str">
        <f>"10020113809"</f>
        <v>10020113809</v>
      </c>
      <c r="B4121" s="10">
        <v>42.67</v>
      </c>
      <c r="C4121" s="9"/>
      <c r="D4121" s="9">
        <f t="shared" si="64"/>
        <v>42.67</v>
      </c>
      <c r="E4121" s="11"/>
      <c r="F4121" s="9"/>
    </row>
    <row r="4122" s="1" customFormat="1" customHeight="1" spans="1:6">
      <c r="A4122" s="9" t="str">
        <f>"10160113810"</f>
        <v>10160113810</v>
      </c>
      <c r="B4122" s="10">
        <v>0</v>
      </c>
      <c r="C4122" s="9"/>
      <c r="D4122" s="9">
        <f t="shared" si="64"/>
        <v>0</v>
      </c>
      <c r="E4122" s="11"/>
      <c r="F4122" s="9" t="s">
        <v>7</v>
      </c>
    </row>
    <row r="4123" s="1" customFormat="1" customHeight="1" spans="1:6">
      <c r="A4123" s="9" t="str">
        <f>"10090113811"</f>
        <v>10090113811</v>
      </c>
      <c r="B4123" s="10">
        <v>0</v>
      </c>
      <c r="C4123" s="9"/>
      <c r="D4123" s="9">
        <f t="shared" si="64"/>
        <v>0</v>
      </c>
      <c r="E4123" s="11"/>
      <c r="F4123" s="9" t="s">
        <v>7</v>
      </c>
    </row>
    <row r="4124" s="1" customFormat="1" customHeight="1" spans="1:6">
      <c r="A4124" s="9" t="str">
        <f>"10510113812"</f>
        <v>10510113812</v>
      </c>
      <c r="B4124" s="10">
        <v>0</v>
      </c>
      <c r="C4124" s="9"/>
      <c r="D4124" s="9">
        <f t="shared" si="64"/>
        <v>0</v>
      </c>
      <c r="E4124" s="11"/>
      <c r="F4124" s="9" t="s">
        <v>7</v>
      </c>
    </row>
    <row r="4125" s="1" customFormat="1" customHeight="1" spans="1:6">
      <c r="A4125" s="9" t="str">
        <f>"10090113813"</f>
        <v>10090113813</v>
      </c>
      <c r="B4125" s="10">
        <v>38.99</v>
      </c>
      <c r="C4125" s="9"/>
      <c r="D4125" s="9">
        <f t="shared" si="64"/>
        <v>38.99</v>
      </c>
      <c r="E4125" s="11"/>
      <c r="F4125" s="9"/>
    </row>
    <row r="4126" s="1" customFormat="1" customHeight="1" spans="1:6">
      <c r="A4126" s="9" t="str">
        <f>"10270113814"</f>
        <v>10270113814</v>
      </c>
      <c r="B4126" s="10">
        <v>47.52</v>
      </c>
      <c r="C4126" s="9"/>
      <c r="D4126" s="9">
        <f t="shared" si="64"/>
        <v>47.52</v>
      </c>
      <c r="E4126" s="11"/>
      <c r="F4126" s="9"/>
    </row>
    <row r="4127" s="1" customFormat="1" customHeight="1" spans="1:6">
      <c r="A4127" s="9" t="str">
        <f>"10210113815"</f>
        <v>10210113815</v>
      </c>
      <c r="B4127" s="10">
        <v>0</v>
      </c>
      <c r="C4127" s="9"/>
      <c r="D4127" s="9">
        <f t="shared" si="64"/>
        <v>0</v>
      </c>
      <c r="E4127" s="11"/>
      <c r="F4127" s="9" t="s">
        <v>7</v>
      </c>
    </row>
    <row r="4128" s="1" customFormat="1" customHeight="1" spans="1:6">
      <c r="A4128" s="9" t="str">
        <f>"10400113816"</f>
        <v>10400113816</v>
      </c>
      <c r="B4128" s="10">
        <v>37.54</v>
      </c>
      <c r="C4128" s="9"/>
      <c r="D4128" s="9">
        <f t="shared" si="64"/>
        <v>37.54</v>
      </c>
      <c r="E4128" s="11"/>
      <c r="F4128" s="9"/>
    </row>
    <row r="4129" s="1" customFormat="1" customHeight="1" spans="1:6">
      <c r="A4129" s="9" t="str">
        <f>"10160113817"</f>
        <v>10160113817</v>
      </c>
      <c r="B4129" s="10">
        <v>0</v>
      </c>
      <c r="C4129" s="9"/>
      <c r="D4129" s="9">
        <f t="shared" si="64"/>
        <v>0</v>
      </c>
      <c r="E4129" s="11"/>
      <c r="F4129" s="9" t="s">
        <v>7</v>
      </c>
    </row>
    <row r="4130" s="1" customFormat="1" customHeight="1" spans="1:6">
      <c r="A4130" s="9" t="str">
        <f>"10400113818"</f>
        <v>10400113818</v>
      </c>
      <c r="B4130" s="10">
        <v>0</v>
      </c>
      <c r="C4130" s="9"/>
      <c r="D4130" s="9">
        <f t="shared" si="64"/>
        <v>0</v>
      </c>
      <c r="E4130" s="11"/>
      <c r="F4130" s="9" t="s">
        <v>7</v>
      </c>
    </row>
    <row r="4131" s="1" customFormat="1" customHeight="1" spans="1:6">
      <c r="A4131" s="9" t="str">
        <f>"10530113819"</f>
        <v>10530113819</v>
      </c>
      <c r="B4131" s="10">
        <v>0</v>
      </c>
      <c r="C4131" s="9"/>
      <c r="D4131" s="9">
        <f t="shared" si="64"/>
        <v>0</v>
      </c>
      <c r="E4131" s="11"/>
      <c r="F4131" s="9" t="s">
        <v>7</v>
      </c>
    </row>
    <row r="4132" s="1" customFormat="1" customHeight="1" spans="1:6">
      <c r="A4132" s="9" t="str">
        <f>"10210113820"</f>
        <v>10210113820</v>
      </c>
      <c r="B4132" s="10">
        <v>0</v>
      </c>
      <c r="C4132" s="9"/>
      <c r="D4132" s="9">
        <f t="shared" si="64"/>
        <v>0</v>
      </c>
      <c r="E4132" s="11"/>
      <c r="F4132" s="9" t="s">
        <v>7</v>
      </c>
    </row>
    <row r="4133" s="1" customFormat="1" customHeight="1" spans="1:6">
      <c r="A4133" s="9" t="str">
        <f>"10530113821"</f>
        <v>10530113821</v>
      </c>
      <c r="B4133" s="10">
        <v>37.68</v>
      </c>
      <c r="C4133" s="9"/>
      <c r="D4133" s="9">
        <f t="shared" si="64"/>
        <v>37.68</v>
      </c>
      <c r="E4133" s="11"/>
      <c r="F4133" s="9"/>
    </row>
    <row r="4134" s="1" customFormat="1" customHeight="1" spans="1:6">
      <c r="A4134" s="9" t="str">
        <f>"10330113822"</f>
        <v>10330113822</v>
      </c>
      <c r="B4134" s="10">
        <v>0</v>
      </c>
      <c r="C4134" s="9"/>
      <c r="D4134" s="9">
        <f t="shared" si="64"/>
        <v>0</v>
      </c>
      <c r="E4134" s="11"/>
      <c r="F4134" s="9" t="s">
        <v>7</v>
      </c>
    </row>
    <row r="4135" s="1" customFormat="1" customHeight="1" spans="1:6">
      <c r="A4135" s="9" t="str">
        <f>"10380113823"</f>
        <v>10380113823</v>
      </c>
      <c r="B4135" s="10">
        <v>39.86</v>
      </c>
      <c r="C4135" s="9"/>
      <c r="D4135" s="9">
        <f t="shared" si="64"/>
        <v>39.86</v>
      </c>
      <c r="E4135" s="11"/>
      <c r="F4135" s="9"/>
    </row>
    <row r="4136" s="1" customFormat="1" customHeight="1" spans="1:6">
      <c r="A4136" s="9" t="str">
        <f>"10330113824"</f>
        <v>10330113824</v>
      </c>
      <c r="B4136" s="10">
        <v>35.08</v>
      </c>
      <c r="C4136" s="9"/>
      <c r="D4136" s="9">
        <f t="shared" si="64"/>
        <v>35.08</v>
      </c>
      <c r="E4136" s="11"/>
      <c r="F4136" s="9"/>
    </row>
    <row r="4137" s="1" customFormat="1" customHeight="1" spans="1:6">
      <c r="A4137" s="9" t="str">
        <f>"10110113825"</f>
        <v>10110113825</v>
      </c>
      <c r="B4137" s="10">
        <v>34.19</v>
      </c>
      <c r="C4137" s="9"/>
      <c r="D4137" s="9">
        <f t="shared" si="64"/>
        <v>34.19</v>
      </c>
      <c r="E4137" s="11"/>
      <c r="F4137" s="9"/>
    </row>
    <row r="4138" s="1" customFormat="1" customHeight="1" spans="1:6">
      <c r="A4138" s="9" t="str">
        <f>"10060113826"</f>
        <v>10060113826</v>
      </c>
      <c r="B4138" s="10">
        <v>39.84</v>
      </c>
      <c r="C4138" s="9"/>
      <c r="D4138" s="9">
        <f t="shared" si="64"/>
        <v>39.84</v>
      </c>
      <c r="E4138" s="11"/>
      <c r="F4138" s="9"/>
    </row>
    <row r="4139" s="1" customFormat="1" customHeight="1" spans="1:6">
      <c r="A4139" s="9" t="str">
        <f>"10130113827"</f>
        <v>10130113827</v>
      </c>
      <c r="B4139" s="10">
        <v>0</v>
      </c>
      <c r="C4139" s="9"/>
      <c r="D4139" s="9">
        <f t="shared" si="64"/>
        <v>0</v>
      </c>
      <c r="E4139" s="11"/>
      <c r="F4139" s="9" t="s">
        <v>7</v>
      </c>
    </row>
    <row r="4140" s="1" customFormat="1" customHeight="1" spans="1:6">
      <c r="A4140" s="9" t="str">
        <f>"10040113828"</f>
        <v>10040113828</v>
      </c>
      <c r="B4140" s="10">
        <v>39.01</v>
      </c>
      <c r="C4140" s="9"/>
      <c r="D4140" s="9">
        <f t="shared" si="64"/>
        <v>39.01</v>
      </c>
      <c r="E4140" s="11"/>
      <c r="F4140" s="9"/>
    </row>
    <row r="4141" s="1" customFormat="1" customHeight="1" spans="1:6">
      <c r="A4141" s="9" t="str">
        <f>"10330113829"</f>
        <v>10330113829</v>
      </c>
      <c r="B4141" s="10">
        <v>48.3</v>
      </c>
      <c r="C4141" s="9"/>
      <c r="D4141" s="9">
        <f t="shared" si="64"/>
        <v>48.3</v>
      </c>
      <c r="E4141" s="11"/>
      <c r="F4141" s="9"/>
    </row>
    <row r="4142" s="1" customFormat="1" customHeight="1" spans="1:6">
      <c r="A4142" s="9" t="str">
        <f>"10120113830"</f>
        <v>10120113830</v>
      </c>
      <c r="B4142" s="10">
        <v>0</v>
      </c>
      <c r="C4142" s="9"/>
      <c r="D4142" s="9">
        <f t="shared" si="64"/>
        <v>0</v>
      </c>
      <c r="E4142" s="11"/>
      <c r="F4142" s="9" t="s">
        <v>7</v>
      </c>
    </row>
    <row r="4143" s="1" customFormat="1" customHeight="1" spans="1:6">
      <c r="A4143" s="9" t="str">
        <f>"10360113901"</f>
        <v>10360113901</v>
      </c>
      <c r="B4143" s="10">
        <v>38.66</v>
      </c>
      <c r="C4143" s="9"/>
      <c r="D4143" s="9">
        <f t="shared" si="64"/>
        <v>38.66</v>
      </c>
      <c r="E4143" s="11"/>
      <c r="F4143" s="9"/>
    </row>
    <row r="4144" s="1" customFormat="1" customHeight="1" spans="1:6">
      <c r="A4144" s="9" t="str">
        <f>"10260113902"</f>
        <v>10260113902</v>
      </c>
      <c r="B4144" s="10">
        <v>0</v>
      </c>
      <c r="C4144" s="9"/>
      <c r="D4144" s="9">
        <f t="shared" si="64"/>
        <v>0</v>
      </c>
      <c r="E4144" s="11"/>
      <c r="F4144" s="9" t="s">
        <v>7</v>
      </c>
    </row>
    <row r="4145" s="1" customFormat="1" customHeight="1" spans="1:6">
      <c r="A4145" s="9" t="str">
        <f>"10340113903"</f>
        <v>10340113903</v>
      </c>
      <c r="B4145" s="10">
        <v>40.56</v>
      </c>
      <c r="C4145" s="9"/>
      <c r="D4145" s="9">
        <f t="shared" si="64"/>
        <v>40.56</v>
      </c>
      <c r="E4145" s="11"/>
      <c r="F4145" s="9"/>
    </row>
    <row r="4146" s="1" customFormat="1" customHeight="1" spans="1:6">
      <c r="A4146" s="9" t="str">
        <f>"10170113904"</f>
        <v>10170113904</v>
      </c>
      <c r="B4146" s="10">
        <v>36.6</v>
      </c>
      <c r="C4146" s="9"/>
      <c r="D4146" s="9">
        <f t="shared" si="64"/>
        <v>36.6</v>
      </c>
      <c r="E4146" s="11"/>
      <c r="F4146" s="9"/>
    </row>
    <row r="4147" s="1" customFormat="1" customHeight="1" spans="1:6">
      <c r="A4147" s="9" t="str">
        <f>"10360113905"</f>
        <v>10360113905</v>
      </c>
      <c r="B4147" s="10">
        <v>45.07</v>
      </c>
      <c r="C4147" s="9"/>
      <c r="D4147" s="9">
        <f t="shared" si="64"/>
        <v>45.07</v>
      </c>
      <c r="E4147" s="11"/>
      <c r="F4147" s="9"/>
    </row>
    <row r="4148" s="1" customFormat="1" customHeight="1" spans="1:6">
      <c r="A4148" s="9" t="str">
        <f>"10130113906"</f>
        <v>10130113906</v>
      </c>
      <c r="B4148" s="10">
        <v>0</v>
      </c>
      <c r="C4148" s="9"/>
      <c r="D4148" s="9">
        <f t="shared" si="64"/>
        <v>0</v>
      </c>
      <c r="E4148" s="11"/>
      <c r="F4148" s="9" t="s">
        <v>7</v>
      </c>
    </row>
    <row r="4149" s="1" customFormat="1" customHeight="1" spans="1:6">
      <c r="A4149" s="9" t="str">
        <f>"10130113907"</f>
        <v>10130113907</v>
      </c>
      <c r="B4149" s="10">
        <v>41.98</v>
      </c>
      <c r="C4149" s="9"/>
      <c r="D4149" s="9">
        <f t="shared" si="64"/>
        <v>41.98</v>
      </c>
      <c r="E4149" s="11"/>
      <c r="F4149" s="9"/>
    </row>
    <row r="4150" s="1" customFormat="1" customHeight="1" spans="1:6">
      <c r="A4150" s="9" t="str">
        <f>"10440113908"</f>
        <v>10440113908</v>
      </c>
      <c r="B4150" s="10">
        <v>33.74</v>
      </c>
      <c r="C4150" s="9">
        <v>10</v>
      </c>
      <c r="D4150" s="9">
        <f t="shared" si="64"/>
        <v>43.74</v>
      </c>
      <c r="E4150" s="12" t="s">
        <v>8</v>
      </c>
      <c r="F4150" s="9"/>
    </row>
    <row r="4151" s="1" customFormat="1" customHeight="1" spans="1:6">
      <c r="A4151" s="9" t="str">
        <f>"10140113909"</f>
        <v>10140113909</v>
      </c>
      <c r="B4151" s="10">
        <v>40</v>
      </c>
      <c r="C4151" s="9"/>
      <c r="D4151" s="9">
        <f t="shared" si="64"/>
        <v>40</v>
      </c>
      <c r="E4151" s="11"/>
      <c r="F4151" s="9"/>
    </row>
    <row r="4152" s="1" customFormat="1" customHeight="1" spans="1:6">
      <c r="A4152" s="9" t="str">
        <f>"10110113910"</f>
        <v>10110113910</v>
      </c>
      <c r="B4152" s="10">
        <v>40.58</v>
      </c>
      <c r="C4152" s="9"/>
      <c r="D4152" s="9">
        <f t="shared" si="64"/>
        <v>40.58</v>
      </c>
      <c r="E4152" s="11"/>
      <c r="F4152" s="9"/>
    </row>
    <row r="4153" s="1" customFormat="1" customHeight="1" spans="1:6">
      <c r="A4153" s="9" t="str">
        <f>"10490113911"</f>
        <v>10490113911</v>
      </c>
      <c r="B4153" s="10">
        <v>53.41</v>
      </c>
      <c r="C4153" s="9"/>
      <c r="D4153" s="9">
        <f t="shared" si="64"/>
        <v>53.41</v>
      </c>
      <c r="E4153" s="11"/>
      <c r="F4153" s="9"/>
    </row>
    <row r="4154" s="1" customFormat="1" customHeight="1" spans="1:6">
      <c r="A4154" s="9" t="str">
        <f>"10180113912"</f>
        <v>10180113912</v>
      </c>
      <c r="B4154" s="10">
        <v>0</v>
      </c>
      <c r="C4154" s="9"/>
      <c r="D4154" s="9">
        <f t="shared" si="64"/>
        <v>0</v>
      </c>
      <c r="E4154" s="11"/>
      <c r="F4154" s="9" t="s">
        <v>7</v>
      </c>
    </row>
    <row r="4155" s="1" customFormat="1" customHeight="1" spans="1:6">
      <c r="A4155" s="9" t="str">
        <f>"10360113913"</f>
        <v>10360113913</v>
      </c>
      <c r="B4155" s="10">
        <v>36.57</v>
      </c>
      <c r="C4155" s="9"/>
      <c r="D4155" s="9">
        <f t="shared" si="64"/>
        <v>36.57</v>
      </c>
      <c r="E4155" s="11"/>
      <c r="F4155" s="9"/>
    </row>
    <row r="4156" s="1" customFormat="1" customHeight="1" spans="1:6">
      <c r="A4156" s="9" t="str">
        <f>"20180113914"</f>
        <v>20180113914</v>
      </c>
      <c r="B4156" s="10">
        <v>45.51</v>
      </c>
      <c r="C4156" s="9"/>
      <c r="D4156" s="9">
        <f t="shared" si="64"/>
        <v>45.51</v>
      </c>
      <c r="E4156" s="11"/>
      <c r="F4156" s="9"/>
    </row>
    <row r="4157" s="1" customFormat="1" customHeight="1" spans="1:6">
      <c r="A4157" s="9" t="str">
        <f>"10420113915"</f>
        <v>10420113915</v>
      </c>
      <c r="B4157" s="10">
        <v>0</v>
      </c>
      <c r="C4157" s="9"/>
      <c r="D4157" s="9">
        <f t="shared" si="64"/>
        <v>0</v>
      </c>
      <c r="E4157" s="11"/>
      <c r="F4157" s="9" t="s">
        <v>7</v>
      </c>
    </row>
    <row r="4158" s="1" customFormat="1" customHeight="1" spans="1:6">
      <c r="A4158" s="9" t="str">
        <f>"10300113916"</f>
        <v>10300113916</v>
      </c>
      <c r="B4158" s="10">
        <v>0</v>
      </c>
      <c r="C4158" s="9"/>
      <c r="D4158" s="9">
        <f t="shared" si="64"/>
        <v>0</v>
      </c>
      <c r="E4158" s="11"/>
      <c r="F4158" s="9" t="s">
        <v>7</v>
      </c>
    </row>
    <row r="4159" s="1" customFormat="1" customHeight="1" spans="1:6">
      <c r="A4159" s="9" t="str">
        <f>"10280113917"</f>
        <v>10280113917</v>
      </c>
      <c r="B4159" s="10">
        <v>33.52</v>
      </c>
      <c r="C4159" s="9"/>
      <c r="D4159" s="9">
        <f t="shared" si="64"/>
        <v>33.52</v>
      </c>
      <c r="E4159" s="11"/>
      <c r="F4159" s="9"/>
    </row>
    <row r="4160" s="1" customFormat="1" customHeight="1" spans="1:6">
      <c r="A4160" s="9" t="str">
        <f>"10100113918"</f>
        <v>10100113918</v>
      </c>
      <c r="B4160" s="10">
        <v>41.39</v>
      </c>
      <c r="C4160" s="9"/>
      <c r="D4160" s="9">
        <f t="shared" si="64"/>
        <v>41.39</v>
      </c>
      <c r="E4160" s="11"/>
      <c r="F4160" s="9"/>
    </row>
    <row r="4161" s="1" customFormat="1" customHeight="1" spans="1:6">
      <c r="A4161" s="9" t="str">
        <f>"10120113919"</f>
        <v>10120113919</v>
      </c>
      <c r="B4161" s="10">
        <v>43.21</v>
      </c>
      <c r="C4161" s="9"/>
      <c r="D4161" s="9">
        <f t="shared" si="64"/>
        <v>43.21</v>
      </c>
      <c r="E4161" s="11"/>
      <c r="F4161" s="9"/>
    </row>
    <row r="4162" s="1" customFormat="1" customHeight="1" spans="1:6">
      <c r="A4162" s="9" t="str">
        <f>"10140113920"</f>
        <v>10140113920</v>
      </c>
      <c r="B4162" s="10">
        <v>34.66</v>
      </c>
      <c r="C4162" s="9"/>
      <c r="D4162" s="9">
        <f t="shared" si="64"/>
        <v>34.66</v>
      </c>
      <c r="E4162" s="11"/>
      <c r="F4162" s="9"/>
    </row>
    <row r="4163" s="1" customFormat="1" customHeight="1" spans="1:6">
      <c r="A4163" s="9" t="str">
        <f>"10360113921"</f>
        <v>10360113921</v>
      </c>
      <c r="B4163" s="10">
        <v>42.36</v>
      </c>
      <c r="C4163" s="9"/>
      <c r="D4163" s="9">
        <f t="shared" ref="D4163:D4226" si="65">SUM(B4163:C4163)</f>
        <v>42.36</v>
      </c>
      <c r="E4163" s="11"/>
      <c r="F4163" s="9"/>
    </row>
    <row r="4164" s="1" customFormat="1" customHeight="1" spans="1:6">
      <c r="A4164" s="9" t="str">
        <f>"10290113922"</f>
        <v>10290113922</v>
      </c>
      <c r="B4164" s="10">
        <v>0</v>
      </c>
      <c r="C4164" s="9"/>
      <c r="D4164" s="9">
        <f t="shared" si="65"/>
        <v>0</v>
      </c>
      <c r="E4164" s="11"/>
      <c r="F4164" s="9" t="s">
        <v>7</v>
      </c>
    </row>
    <row r="4165" s="1" customFormat="1" customHeight="1" spans="1:6">
      <c r="A4165" s="9" t="str">
        <f>"10530113923"</f>
        <v>10530113923</v>
      </c>
      <c r="B4165" s="10">
        <v>41.52</v>
      </c>
      <c r="C4165" s="9"/>
      <c r="D4165" s="9">
        <f t="shared" si="65"/>
        <v>41.52</v>
      </c>
      <c r="E4165" s="11"/>
      <c r="F4165" s="9"/>
    </row>
    <row r="4166" s="1" customFormat="1" customHeight="1" spans="1:6">
      <c r="A4166" s="9" t="str">
        <f>"10510113924"</f>
        <v>10510113924</v>
      </c>
      <c r="B4166" s="10">
        <v>35.47</v>
      </c>
      <c r="C4166" s="9"/>
      <c r="D4166" s="9">
        <f t="shared" si="65"/>
        <v>35.47</v>
      </c>
      <c r="E4166" s="11"/>
      <c r="F4166" s="9"/>
    </row>
    <row r="4167" s="1" customFormat="1" customHeight="1" spans="1:6">
      <c r="A4167" s="9" t="str">
        <f>"10530113925"</f>
        <v>10530113925</v>
      </c>
      <c r="B4167" s="10">
        <v>39.54</v>
      </c>
      <c r="C4167" s="9"/>
      <c r="D4167" s="9">
        <f t="shared" si="65"/>
        <v>39.54</v>
      </c>
      <c r="E4167" s="11"/>
      <c r="F4167" s="9"/>
    </row>
    <row r="4168" s="1" customFormat="1" customHeight="1" spans="1:6">
      <c r="A4168" s="9" t="str">
        <f>"10480113926"</f>
        <v>10480113926</v>
      </c>
      <c r="B4168" s="10">
        <v>0</v>
      </c>
      <c r="C4168" s="9"/>
      <c r="D4168" s="9">
        <f t="shared" si="65"/>
        <v>0</v>
      </c>
      <c r="E4168" s="11"/>
      <c r="F4168" s="9" t="s">
        <v>7</v>
      </c>
    </row>
    <row r="4169" s="1" customFormat="1" customHeight="1" spans="1:6">
      <c r="A4169" s="9" t="str">
        <f>"10360113927"</f>
        <v>10360113927</v>
      </c>
      <c r="B4169" s="10">
        <v>0</v>
      </c>
      <c r="C4169" s="9"/>
      <c r="D4169" s="9">
        <f t="shared" si="65"/>
        <v>0</v>
      </c>
      <c r="E4169" s="11"/>
      <c r="F4169" s="9" t="s">
        <v>7</v>
      </c>
    </row>
    <row r="4170" s="1" customFormat="1" customHeight="1" spans="1:6">
      <c r="A4170" s="9" t="str">
        <f>"10360113928"</f>
        <v>10360113928</v>
      </c>
      <c r="B4170" s="10">
        <v>0</v>
      </c>
      <c r="C4170" s="9"/>
      <c r="D4170" s="9">
        <f t="shared" si="65"/>
        <v>0</v>
      </c>
      <c r="E4170" s="11"/>
      <c r="F4170" s="9" t="s">
        <v>7</v>
      </c>
    </row>
    <row r="4171" s="1" customFormat="1" customHeight="1" spans="1:6">
      <c r="A4171" s="9" t="str">
        <f>"10360113929"</f>
        <v>10360113929</v>
      </c>
      <c r="B4171" s="10">
        <v>47.92</v>
      </c>
      <c r="C4171" s="9"/>
      <c r="D4171" s="9">
        <f t="shared" si="65"/>
        <v>47.92</v>
      </c>
      <c r="E4171" s="11"/>
      <c r="F4171" s="9"/>
    </row>
    <row r="4172" s="1" customFormat="1" customHeight="1" spans="1:6">
      <c r="A4172" s="9" t="str">
        <f>"10170113930"</f>
        <v>10170113930</v>
      </c>
      <c r="B4172" s="10">
        <v>40.61</v>
      </c>
      <c r="C4172" s="9"/>
      <c r="D4172" s="9">
        <f t="shared" si="65"/>
        <v>40.61</v>
      </c>
      <c r="E4172" s="11"/>
      <c r="F4172" s="9"/>
    </row>
    <row r="4173" s="1" customFormat="1" customHeight="1" spans="1:6">
      <c r="A4173" s="9" t="str">
        <f>"10180114001"</f>
        <v>10180114001</v>
      </c>
      <c r="B4173" s="10">
        <v>0</v>
      </c>
      <c r="C4173" s="9"/>
      <c r="D4173" s="9">
        <f t="shared" si="65"/>
        <v>0</v>
      </c>
      <c r="E4173" s="11"/>
      <c r="F4173" s="9" t="s">
        <v>7</v>
      </c>
    </row>
    <row r="4174" s="1" customFormat="1" customHeight="1" spans="1:6">
      <c r="A4174" s="9" t="str">
        <f>"20270114002"</f>
        <v>20270114002</v>
      </c>
      <c r="B4174" s="10">
        <v>39.61</v>
      </c>
      <c r="C4174" s="9"/>
      <c r="D4174" s="9">
        <f t="shared" si="65"/>
        <v>39.61</v>
      </c>
      <c r="E4174" s="11"/>
      <c r="F4174" s="9"/>
    </row>
    <row r="4175" s="1" customFormat="1" customHeight="1" spans="1:6">
      <c r="A4175" s="9" t="str">
        <f>"10380114003"</f>
        <v>10380114003</v>
      </c>
      <c r="B4175" s="10">
        <v>33.49</v>
      </c>
      <c r="C4175" s="9"/>
      <c r="D4175" s="9">
        <f t="shared" si="65"/>
        <v>33.49</v>
      </c>
      <c r="E4175" s="11"/>
      <c r="F4175" s="9"/>
    </row>
    <row r="4176" s="1" customFormat="1" customHeight="1" spans="1:6">
      <c r="A4176" s="9" t="str">
        <f>"10360114004"</f>
        <v>10360114004</v>
      </c>
      <c r="B4176" s="10">
        <v>34.47</v>
      </c>
      <c r="C4176" s="9"/>
      <c r="D4176" s="9">
        <f t="shared" si="65"/>
        <v>34.47</v>
      </c>
      <c r="E4176" s="11"/>
      <c r="F4176" s="9"/>
    </row>
    <row r="4177" s="1" customFormat="1" customHeight="1" spans="1:6">
      <c r="A4177" s="9" t="str">
        <f>"10210114005"</f>
        <v>10210114005</v>
      </c>
      <c r="B4177" s="10">
        <v>34.97</v>
      </c>
      <c r="C4177" s="9"/>
      <c r="D4177" s="9">
        <f t="shared" si="65"/>
        <v>34.97</v>
      </c>
      <c r="E4177" s="11"/>
      <c r="F4177" s="9"/>
    </row>
    <row r="4178" s="1" customFormat="1" customHeight="1" spans="1:6">
      <c r="A4178" s="9" t="str">
        <f>"10530114006"</f>
        <v>10530114006</v>
      </c>
      <c r="B4178" s="10">
        <v>40.66</v>
      </c>
      <c r="C4178" s="9"/>
      <c r="D4178" s="9">
        <f t="shared" si="65"/>
        <v>40.66</v>
      </c>
      <c r="E4178" s="11"/>
      <c r="F4178" s="9"/>
    </row>
    <row r="4179" s="1" customFormat="1" customHeight="1" spans="1:6">
      <c r="A4179" s="9" t="str">
        <f>"10060114007"</f>
        <v>10060114007</v>
      </c>
      <c r="B4179" s="10">
        <v>36.68</v>
      </c>
      <c r="C4179" s="9"/>
      <c r="D4179" s="9">
        <f t="shared" si="65"/>
        <v>36.68</v>
      </c>
      <c r="E4179" s="11"/>
      <c r="F4179" s="9"/>
    </row>
    <row r="4180" s="1" customFormat="1" customHeight="1" spans="1:6">
      <c r="A4180" s="9" t="str">
        <f>"10410114008"</f>
        <v>10410114008</v>
      </c>
      <c r="B4180" s="10">
        <v>45.37</v>
      </c>
      <c r="C4180" s="9"/>
      <c r="D4180" s="9">
        <f t="shared" si="65"/>
        <v>45.37</v>
      </c>
      <c r="E4180" s="11"/>
      <c r="F4180" s="9"/>
    </row>
    <row r="4181" s="1" customFormat="1" customHeight="1" spans="1:6">
      <c r="A4181" s="9" t="str">
        <f>"10130114009"</f>
        <v>10130114009</v>
      </c>
      <c r="B4181" s="10">
        <v>41.07</v>
      </c>
      <c r="C4181" s="9"/>
      <c r="D4181" s="9">
        <f t="shared" si="65"/>
        <v>41.07</v>
      </c>
      <c r="E4181" s="11"/>
      <c r="F4181" s="9"/>
    </row>
    <row r="4182" s="1" customFormat="1" customHeight="1" spans="1:6">
      <c r="A4182" s="9" t="str">
        <f>"10210114010"</f>
        <v>10210114010</v>
      </c>
      <c r="B4182" s="10">
        <v>0</v>
      </c>
      <c r="C4182" s="9"/>
      <c r="D4182" s="9">
        <f t="shared" si="65"/>
        <v>0</v>
      </c>
      <c r="E4182" s="11"/>
      <c r="F4182" s="9" t="s">
        <v>7</v>
      </c>
    </row>
    <row r="4183" s="1" customFormat="1" customHeight="1" spans="1:6">
      <c r="A4183" s="9" t="str">
        <f>"10530114011"</f>
        <v>10530114011</v>
      </c>
      <c r="B4183" s="10">
        <v>0</v>
      </c>
      <c r="C4183" s="9"/>
      <c r="D4183" s="9">
        <f t="shared" si="65"/>
        <v>0</v>
      </c>
      <c r="E4183" s="11"/>
      <c r="F4183" s="9" t="s">
        <v>7</v>
      </c>
    </row>
    <row r="4184" s="1" customFormat="1" customHeight="1" spans="1:6">
      <c r="A4184" s="9" t="str">
        <f>"10360114012"</f>
        <v>10360114012</v>
      </c>
      <c r="B4184" s="10">
        <v>0</v>
      </c>
      <c r="C4184" s="9"/>
      <c r="D4184" s="9">
        <f t="shared" si="65"/>
        <v>0</v>
      </c>
      <c r="E4184" s="11"/>
      <c r="F4184" s="9" t="s">
        <v>7</v>
      </c>
    </row>
    <row r="4185" s="1" customFormat="1" customHeight="1" spans="1:6">
      <c r="A4185" s="9" t="str">
        <f>"10210114013"</f>
        <v>10210114013</v>
      </c>
      <c r="B4185" s="10">
        <v>40.14</v>
      </c>
      <c r="C4185" s="9"/>
      <c r="D4185" s="9">
        <f t="shared" si="65"/>
        <v>40.14</v>
      </c>
      <c r="E4185" s="11"/>
      <c r="F4185" s="9"/>
    </row>
    <row r="4186" s="1" customFormat="1" customHeight="1" spans="1:6">
      <c r="A4186" s="9" t="str">
        <f>"10330114014"</f>
        <v>10330114014</v>
      </c>
      <c r="B4186" s="10">
        <v>37.66</v>
      </c>
      <c r="C4186" s="9"/>
      <c r="D4186" s="9">
        <f t="shared" si="65"/>
        <v>37.66</v>
      </c>
      <c r="E4186" s="11"/>
      <c r="F4186" s="9"/>
    </row>
    <row r="4187" s="1" customFormat="1" customHeight="1" spans="1:6">
      <c r="A4187" s="9" t="str">
        <f>"10130114015"</f>
        <v>10130114015</v>
      </c>
      <c r="B4187" s="10">
        <v>42.95</v>
      </c>
      <c r="C4187" s="9"/>
      <c r="D4187" s="9">
        <f t="shared" si="65"/>
        <v>42.95</v>
      </c>
      <c r="E4187" s="11"/>
      <c r="F4187" s="9"/>
    </row>
    <row r="4188" s="1" customFormat="1" customHeight="1" spans="1:6">
      <c r="A4188" s="9" t="str">
        <f>"10120114016"</f>
        <v>10120114016</v>
      </c>
      <c r="B4188" s="10">
        <v>39.47</v>
      </c>
      <c r="C4188" s="9"/>
      <c r="D4188" s="9">
        <f t="shared" si="65"/>
        <v>39.47</v>
      </c>
      <c r="E4188" s="11"/>
      <c r="F4188" s="9"/>
    </row>
    <row r="4189" s="1" customFormat="1" customHeight="1" spans="1:6">
      <c r="A4189" s="9" t="str">
        <f>"10280114017"</f>
        <v>10280114017</v>
      </c>
      <c r="B4189" s="10">
        <v>44.19</v>
      </c>
      <c r="C4189" s="9"/>
      <c r="D4189" s="9">
        <f t="shared" si="65"/>
        <v>44.19</v>
      </c>
      <c r="E4189" s="11"/>
      <c r="F4189" s="9"/>
    </row>
    <row r="4190" s="1" customFormat="1" customHeight="1" spans="1:6">
      <c r="A4190" s="9" t="str">
        <f>"10060114018"</f>
        <v>10060114018</v>
      </c>
      <c r="B4190" s="10">
        <v>34.76</v>
      </c>
      <c r="C4190" s="9"/>
      <c r="D4190" s="9">
        <f t="shared" si="65"/>
        <v>34.76</v>
      </c>
      <c r="E4190" s="11"/>
      <c r="F4190" s="9"/>
    </row>
    <row r="4191" s="1" customFormat="1" customHeight="1" spans="1:6">
      <c r="A4191" s="9" t="str">
        <f>"20180114019"</f>
        <v>20180114019</v>
      </c>
      <c r="B4191" s="10">
        <v>38.74</v>
      </c>
      <c r="C4191" s="9"/>
      <c r="D4191" s="9">
        <f t="shared" si="65"/>
        <v>38.74</v>
      </c>
      <c r="E4191" s="11"/>
      <c r="F4191" s="9"/>
    </row>
    <row r="4192" s="1" customFormat="1" customHeight="1" spans="1:6">
      <c r="A4192" s="9" t="str">
        <f>"10430114020"</f>
        <v>10430114020</v>
      </c>
      <c r="B4192" s="10">
        <v>39</v>
      </c>
      <c r="C4192" s="9"/>
      <c r="D4192" s="9">
        <f t="shared" si="65"/>
        <v>39</v>
      </c>
      <c r="E4192" s="11"/>
      <c r="F4192" s="9"/>
    </row>
    <row r="4193" s="1" customFormat="1" customHeight="1" spans="1:6">
      <c r="A4193" s="9" t="str">
        <f>"10510114021"</f>
        <v>10510114021</v>
      </c>
      <c r="B4193" s="10">
        <v>40.4</v>
      </c>
      <c r="C4193" s="9"/>
      <c r="D4193" s="9">
        <f t="shared" si="65"/>
        <v>40.4</v>
      </c>
      <c r="E4193" s="11"/>
      <c r="F4193" s="9"/>
    </row>
    <row r="4194" s="1" customFormat="1" customHeight="1" spans="1:6">
      <c r="A4194" s="9" t="str">
        <f>"10440114022"</f>
        <v>10440114022</v>
      </c>
      <c r="B4194" s="10">
        <v>38.55</v>
      </c>
      <c r="C4194" s="9"/>
      <c r="D4194" s="9">
        <f t="shared" si="65"/>
        <v>38.55</v>
      </c>
      <c r="E4194" s="11"/>
      <c r="F4194" s="9"/>
    </row>
    <row r="4195" s="1" customFormat="1" customHeight="1" spans="1:6">
      <c r="A4195" s="9" t="str">
        <f>"10240114023"</f>
        <v>10240114023</v>
      </c>
      <c r="B4195" s="10">
        <v>36.96</v>
      </c>
      <c r="C4195" s="9"/>
      <c r="D4195" s="9">
        <f t="shared" si="65"/>
        <v>36.96</v>
      </c>
      <c r="E4195" s="11"/>
      <c r="F4195" s="9"/>
    </row>
    <row r="4196" s="1" customFormat="1" customHeight="1" spans="1:6">
      <c r="A4196" s="9" t="str">
        <f>"10240114024"</f>
        <v>10240114024</v>
      </c>
      <c r="B4196" s="10">
        <v>35.86</v>
      </c>
      <c r="C4196" s="9"/>
      <c r="D4196" s="9">
        <f t="shared" si="65"/>
        <v>35.86</v>
      </c>
      <c r="E4196" s="11"/>
      <c r="F4196" s="9"/>
    </row>
    <row r="4197" s="1" customFormat="1" customHeight="1" spans="1:6">
      <c r="A4197" s="9" t="str">
        <f>"10510114025"</f>
        <v>10510114025</v>
      </c>
      <c r="B4197" s="10">
        <v>0</v>
      </c>
      <c r="C4197" s="9"/>
      <c r="D4197" s="9">
        <f t="shared" si="65"/>
        <v>0</v>
      </c>
      <c r="E4197" s="11"/>
      <c r="F4197" s="9" t="s">
        <v>7</v>
      </c>
    </row>
    <row r="4198" s="1" customFormat="1" customHeight="1" spans="1:6">
      <c r="A4198" s="9" t="str">
        <f>"10060114026"</f>
        <v>10060114026</v>
      </c>
      <c r="B4198" s="10">
        <v>35.85</v>
      </c>
      <c r="C4198" s="9"/>
      <c r="D4198" s="9">
        <f t="shared" si="65"/>
        <v>35.85</v>
      </c>
      <c r="E4198" s="11"/>
      <c r="F4198" s="9"/>
    </row>
    <row r="4199" s="1" customFormat="1" customHeight="1" spans="1:6">
      <c r="A4199" s="9" t="str">
        <f>"10440114027"</f>
        <v>10440114027</v>
      </c>
      <c r="B4199" s="10">
        <v>36.44</v>
      </c>
      <c r="C4199" s="9"/>
      <c r="D4199" s="9">
        <f t="shared" si="65"/>
        <v>36.44</v>
      </c>
      <c r="E4199" s="11"/>
      <c r="F4199" s="9"/>
    </row>
    <row r="4200" s="1" customFormat="1" customHeight="1" spans="1:6">
      <c r="A4200" s="9" t="str">
        <f>"10080114028"</f>
        <v>10080114028</v>
      </c>
      <c r="B4200" s="10">
        <v>43.56</v>
      </c>
      <c r="C4200" s="9"/>
      <c r="D4200" s="9">
        <f t="shared" si="65"/>
        <v>43.56</v>
      </c>
      <c r="E4200" s="11"/>
      <c r="F4200" s="9"/>
    </row>
    <row r="4201" s="1" customFormat="1" customHeight="1" spans="1:6">
      <c r="A4201" s="9" t="str">
        <f>"10060114029"</f>
        <v>10060114029</v>
      </c>
      <c r="B4201" s="10">
        <v>37.41</v>
      </c>
      <c r="C4201" s="9"/>
      <c r="D4201" s="9">
        <f t="shared" si="65"/>
        <v>37.41</v>
      </c>
      <c r="E4201" s="11"/>
      <c r="F4201" s="9"/>
    </row>
    <row r="4202" s="1" customFormat="1" customHeight="1" spans="1:6">
      <c r="A4202" s="9" t="str">
        <f>"10150114030"</f>
        <v>10150114030</v>
      </c>
      <c r="B4202" s="10">
        <v>0</v>
      </c>
      <c r="C4202" s="9"/>
      <c r="D4202" s="9">
        <f t="shared" si="65"/>
        <v>0</v>
      </c>
      <c r="E4202" s="11"/>
      <c r="F4202" s="9" t="s">
        <v>7</v>
      </c>
    </row>
    <row r="4203" s="1" customFormat="1" customHeight="1" spans="1:6">
      <c r="A4203" s="9" t="str">
        <f>"10510114101"</f>
        <v>10510114101</v>
      </c>
      <c r="B4203" s="10">
        <v>0</v>
      </c>
      <c r="C4203" s="9"/>
      <c r="D4203" s="9">
        <f t="shared" si="65"/>
        <v>0</v>
      </c>
      <c r="E4203" s="11"/>
      <c r="F4203" s="9" t="s">
        <v>7</v>
      </c>
    </row>
    <row r="4204" s="1" customFormat="1" customHeight="1" spans="1:6">
      <c r="A4204" s="9" t="str">
        <f>"10360114102"</f>
        <v>10360114102</v>
      </c>
      <c r="B4204" s="10">
        <v>0</v>
      </c>
      <c r="C4204" s="9"/>
      <c r="D4204" s="9">
        <f t="shared" si="65"/>
        <v>0</v>
      </c>
      <c r="E4204" s="11"/>
      <c r="F4204" s="9" t="s">
        <v>7</v>
      </c>
    </row>
    <row r="4205" s="1" customFormat="1" customHeight="1" spans="1:6">
      <c r="A4205" s="9" t="str">
        <f>"10150114103"</f>
        <v>10150114103</v>
      </c>
      <c r="B4205" s="10">
        <v>50.96</v>
      </c>
      <c r="C4205" s="9"/>
      <c r="D4205" s="9">
        <f t="shared" si="65"/>
        <v>50.96</v>
      </c>
      <c r="E4205" s="11"/>
      <c r="F4205" s="9"/>
    </row>
    <row r="4206" s="1" customFormat="1" customHeight="1" spans="1:6">
      <c r="A4206" s="9" t="str">
        <f>"10500114104"</f>
        <v>10500114104</v>
      </c>
      <c r="B4206" s="10">
        <v>45.29</v>
      </c>
      <c r="C4206" s="9"/>
      <c r="D4206" s="9">
        <f t="shared" si="65"/>
        <v>45.29</v>
      </c>
      <c r="E4206" s="11"/>
      <c r="F4206" s="9"/>
    </row>
    <row r="4207" s="1" customFormat="1" customHeight="1" spans="1:6">
      <c r="A4207" s="9" t="str">
        <f>"10480114105"</f>
        <v>10480114105</v>
      </c>
      <c r="B4207" s="10">
        <v>39.96</v>
      </c>
      <c r="C4207" s="9"/>
      <c r="D4207" s="9">
        <f t="shared" si="65"/>
        <v>39.96</v>
      </c>
      <c r="E4207" s="11"/>
      <c r="F4207" s="9"/>
    </row>
    <row r="4208" s="1" customFormat="1" customHeight="1" spans="1:6">
      <c r="A4208" s="9" t="str">
        <f>"10080114106"</f>
        <v>10080114106</v>
      </c>
      <c r="B4208" s="10">
        <v>41.86</v>
      </c>
      <c r="C4208" s="9"/>
      <c r="D4208" s="9">
        <f t="shared" si="65"/>
        <v>41.86</v>
      </c>
      <c r="E4208" s="11"/>
      <c r="F4208" s="9"/>
    </row>
    <row r="4209" s="1" customFormat="1" customHeight="1" spans="1:6">
      <c r="A4209" s="9" t="str">
        <f>"10300114107"</f>
        <v>10300114107</v>
      </c>
      <c r="B4209" s="10">
        <v>42.96</v>
      </c>
      <c r="C4209" s="9"/>
      <c r="D4209" s="9">
        <f t="shared" si="65"/>
        <v>42.96</v>
      </c>
      <c r="E4209" s="11"/>
      <c r="F4209" s="9"/>
    </row>
    <row r="4210" s="1" customFormat="1" customHeight="1" spans="1:6">
      <c r="A4210" s="9" t="str">
        <f>"10240114108"</f>
        <v>10240114108</v>
      </c>
      <c r="B4210" s="10">
        <v>0</v>
      </c>
      <c r="C4210" s="9"/>
      <c r="D4210" s="9">
        <f t="shared" si="65"/>
        <v>0</v>
      </c>
      <c r="E4210" s="11"/>
      <c r="F4210" s="9" t="s">
        <v>7</v>
      </c>
    </row>
    <row r="4211" s="1" customFormat="1" customHeight="1" spans="1:6">
      <c r="A4211" s="9" t="str">
        <f>"10060114109"</f>
        <v>10060114109</v>
      </c>
      <c r="B4211" s="10">
        <v>35.99</v>
      </c>
      <c r="C4211" s="9"/>
      <c r="D4211" s="9">
        <f t="shared" si="65"/>
        <v>35.99</v>
      </c>
      <c r="E4211" s="11"/>
      <c r="F4211" s="9"/>
    </row>
    <row r="4212" s="1" customFormat="1" customHeight="1" spans="1:6">
      <c r="A4212" s="9" t="str">
        <f>"10360114110"</f>
        <v>10360114110</v>
      </c>
      <c r="B4212" s="10">
        <v>0</v>
      </c>
      <c r="C4212" s="9"/>
      <c r="D4212" s="9">
        <f t="shared" si="65"/>
        <v>0</v>
      </c>
      <c r="E4212" s="11"/>
      <c r="F4212" s="9" t="s">
        <v>7</v>
      </c>
    </row>
    <row r="4213" s="1" customFormat="1" customHeight="1" spans="1:6">
      <c r="A4213" s="9" t="str">
        <f>"20270114111"</f>
        <v>20270114111</v>
      </c>
      <c r="B4213" s="10">
        <v>0</v>
      </c>
      <c r="C4213" s="9"/>
      <c r="D4213" s="9">
        <f t="shared" si="65"/>
        <v>0</v>
      </c>
      <c r="E4213" s="11"/>
      <c r="F4213" s="9" t="s">
        <v>7</v>
      </c>
    </row>
    <row r="4214" s="1" customFormat="1" customHeight="1" spans="1:6">
      <c r="A4214" s="9" t="str">
        <f>"10360114112"</f>
        <v>10360114112</v>
      </c>
      <c r="B4214" s="10">
        <v>36.43</v>
      </c>
      <c r="C4214" s="9"/>
      <c r="D4214" s="9">
        <f t="shared" si="65"/>
        <v>36.43</v>
      </c>
      <c r="E4214" s="11"/>
      <c r="F4214" s="9"/>
    </row>
    <row r="4215" s="1" customFormat="1" customHeight="1" spans="1:6">
      <c r="A4215" s="9" t="str">
        <f>"10100114113"</f>
        <v>10100114113</v>
      </c>
      <c r="B4215" s="10">
        <v>0</v>
      </c>
      <c r="C4215" s="9"/>
      <c r="D4215" s="9">
        <f t="shared" si="65"/>
        <v>0</v>
      </c>
      <c r="E4215" s="11"/>
      <c r="F4215" s="9" t="s">
        <v>7</v>
      </c>
    </row>
    <row r="4216" s="1" customFormat="1" customHeight="1" spans="1:6">
      <c r="A4216" s="9" t="str">
        <f>"10360114114"</f>
        <v>10360114114</v>
      </c>
      <c r="B4216" s="10">
        <v>45.39</v>
      </c>
      <c r="C4216" s="9"/>
      <c r="D4216" s="9">
        <f t="shared" si="65"/>
        <v>45.39</v>
      </c>
      <c r="E4216" s="11"/>
      <c r="F4216" s="9"/>
    </row>
    <row r="4217" s="1" customFormat="1" customHeight="1" spans="1:6">
      <c r="A4217" s="9" t="str">
        <f>"10320114115"</f>
        <v>10320114115</v>
      </c>
      <c r="B4217" s="10">
        <v>39.36</v>
      </c>
      <c r="C4217" s="9"/>
      <c r="D4217" s="9">
        <f t="shared" si="65"/>
        <v>39.36</v>
      </c>
      <c r="E4217" s="11"/>
      <c r="F4217" s="9"/>
    </row>
    <row r="4218" s="1" customFormat="1" customHeight="1" spans="1:6">
      <c r="A4218" s="9" t="str">
        <f>"10110114116"</f>
        <v>10110114116</v>
      </c>
      <c r="B4218" s="10">
        <v>0</v>
      </c>
      <c r="C4218" s="9"/>
      <c r="D4218" s="9">
        <f t="shared" si="65"/>
        <v>0</v>
      </c>
      <c r="E4218" s="11"/>
      <c r="F4218" s="9" t="s">
        <v>7</v>
      </c>
    </row>
    <row r="4219" s="1" customFormat="1" customHeight="1" spans="1:6">
      <c r="A4219" s="9" t="str">
        <f>"10390114117"</f>
        <v>10390114117</v>
      </c>
      <c r="B4219" s="10">
        <v>44.71</v>
      </c>
      <c r="C4219" s="9"/>
      <c r="D4219" s="9">
        <f t="shared" si="65"/>
        <v>44.71</v>
      </c>
      <c r="E4219" s="11"/>
      <c r="F4219" s="9"/>
    </row>
    <row r="4220" s="1" customFormat="1" customHeight="1" spans="1:6">
      <c r="A4220" s="9" t="str">
        <f>"10310114118"</f>
        <v>10310114118</v>
      </c>
      <c r="B4220" s="10">
        <v>39.32</v>
      </c>
      <c r="C4220" s="9"/>
      <c r="D4220" s="9">
        <f t="shared" si="65"/>
        <v>39.32</v>
      </c>
      <c r="E4220" s="11"/>
      <c r="F4220" s="9"/>
    </row>
    <row r="4221" s="1" customFormat="1" customHeight="1" spans="1:6">
      <c r="A4221" s="9" t="str">
        <f>"10360114119"</f>
        <v>10360114119</v>
      </c>
      <c r="B4221" s="10">
        <v>41.09</v>
      </c>
      <c r="C4221" s="9"/>
      <c r="D4221" s="9">
        <f t="shared" si="65"/>
        <v>41.09</v>
      </c>
      <c r="E4221" s="11"/>
      <c r="F4221" s="9"/>
    </row>
    <row r="4222" s="1" customFormat="1" customHeight="1" spans="1:6">
      <c r="A4222" s="9" t="str">
        <f>"10450114120"</f>
        <v>10450114120</v>
      </c>
      <c r="B4222" s="10">
        <v>38.26</v>
      </c>
      <c r="C4222" s="9"/>
      <c r="D4222" s="9">
        <f t="shared" si="65"/>
        <v>38.26</v>
      </c>
      <c r="E4222" s="11"/>
      <c r="F4222" s="9"/>
    </row>
    <row r="4223" s="1" customFormat="1" customHeight="1" spans="1:6">
      <c r="A4223" s="9" t="str">
        <f>"10020114121"</f>
        <v>10020114121</v>
      </c>
      <c r="B4223" s="10">
        <v>0</v>
      </c>
      <c r="C4223" s="9"/>
      <c r="D4223" s="9">
        <f t="shared" si="65"/>
        <v>0</v>
      </c>
      <c r="E4223" s="11"/>
      <c r="F4223" s="9" t="s">
        <v>7</v>
      </c>
    </row>
    <row r="4224" s="1" customFormat="1" customHeight="1" spans="1:6">
      <c r="A4224" s="9" t="str">
        <f>"20270114122"</f>
        <v>20270114122</v>
      </c>
      <c r="B4224" s="10">
        <v>41.13</v>
      </c>
      <c r="C4224" s="9"/>
      <c r="D4224" s="9">
        <f t="shared" si="65"/>
        <v>41.13</v>
      </c>
      <c r="E4224" s="11"/>
      <c r="F4224" s="9"/>
    </row>
    <row r="4225" s="1" customFormat="1" customHeight="1" spans="1:6">
      <c r="A4225" s="9" t="str">
        <f>"10380114123"</f>
        <v>10380114123</v>
      </c>
      <c r="B4225" s="10">
        <v>0</v>
      </c>
      <c r="C4225" s="9"/>
      <c r="D4225" s="9">
        <f t="shared" si="65"/>
        <v>0</v>
      </c>
      <c r="E4225" s="11"/>
      <c r="F4225" s="9" t="s">
        <v>7</v>
      </c>
    </row>
    <row r="4226" s="1" customFormat="1" customHeight="1" spans="1:6">
      <c r="A4226" s="9" t="str">
        <f>"20270114124"</f>
        <v>20270114124</v>
      </c>
      <c r="B4226" s="10">
        <v>36.93</v>
      </c>
      <c r="C4226" s="9"/>
      <c r="D4226" s="9">
        <f t="shared" si="65"/>
        <v>36.93</v>
      </c>
      <c r="E4226" s="11"/>
      <c r="F4226" s="9"/>
    </row>
    <row r="4227" s="1" customFormat="1" customHeight="1" spans="1:6">
      <c r="A4227" s="9" t="str">
        <f>"10320114125"</f>
        <v>10320114125</v>
      </c>
      <c r="B4227" s="10">
        <v>41.49</v>
      </c>
      <c r="C4227" s="9"/>
      <c r="D4227" s="9">
        <f t="shared" ref="D4227:D4290" si="66">SUM(B4227:C4227)</f>
        <v>41.49</v>
      </c>
      <c r="E4227" s="11"/>
      <c r="F4227" s="9"/>
    </row>
    <row r="4228" s="1" customFormat="1" customHeight="1" spans="1:6">
      <c r="A4228" s="9" t="str">
        <f>"10360114126"</f>
        <v>10360114126</v>
      </c>
      <c r="B4228" s="10">
        <v>22.93</v>
      </c>
      <c r="C4228" s="9"/>
      <c r="D4228" s="9">
        <f t="shared" si="66"/>
        <v>22.93</v>
      </c>
      <c r="E4228" s="11"/>
      <c r="F4228" s="9"/>
    </row>
    <row r="4229" s="1" customFormat="1" customHeight="1" spans="1:6">
      <c r="A4229" s="9" t="str">
        <f>"10060114127"</f>
        <v>10060114127</v>
      </c>
      <c r="B4229" s="10">
        <v>40.16</v>
      </c>
      <c r="C4229" s="9"/>
      <c r="D4229" s="9">
        <f t="shared" si="66"/>
        <v>40.16</v>
      </c>
      <c r="E4229" s="11"/>
      <c r="F4229" s="9"/>
    </row>
    <row r="4230" s="1" customFormat="1" customHeight="1" spans="1:6">
      <c r="A4230" s="9" t="str">
        <f>"10440114128"</f>
        <v>10440114128</v>
      </c>
      <c r="B4230" s="10">
        <v>40.09</v>
      </c>
      <c r="C4230" s="9"/>
      <c r="D4230" s="9">
        <f t="shared" si="66"/>
        <v>40.09</v>
      </c>
      <c r="E4230" s="11"/>
      <c r="F4230" s="9"/>
    </row>
    <row r="4231" s="1" customFormat="1" customHeight="1" spans="1:6">
      <c r="A4231" s="9" t="str">
        <f>"10360114129"</f>
        <v>10360114129</v>
      </c>
      <c r="B4231" s="10">
        <v>44.86</v>
      </c>
      <c r="C4231" s="9"/>
      <c r="D4231" s="9">
        <f t="shared" si="66"/>
        <v>44.86</v>
      </c>
      <c r="E4231" s="11"/>
      <c r="F4231" s="9"/>
    </row>
    <row r="4232" s="1" customFormat="1" customHeight="1" spans="1:6">
      <c r="A4232" s="9" t="str">
        <f>"10330114130"</f>
        <v>10330114130</v>
      </c>
      <c r="B4232" s="10">
        <v>0</v>
      </c>
      <c r="C4232" s="9"/>
      <c r="D4232" s="9">
        <f t="shared" si="66"/>
        <v>0</v>
      </c>
      <c r="E4232" s="11"/>
      <c r="F4232" s="9" t="s">
        <v>7</v>
      </c>
    </row>
    <row r="4233" s="1" customFormat="1" customHeight="1" spans="1:6">
      <c r="A4233" s="9" t="str">
        <f>"10530114201"</f>
        <v>10530114201</v>
      </c>
      <c r="B4233" s="10">
        <v>41.16</v>
      </c>
      <c r="C4233" s="9"/>
      <c r="D4233" s="9">
        <f t="shared" si="66"/>
        <v>41.16</v>
      </c>
      <c r="E4233" s="11"/>
      <c r="F4233" s="9"/>
    </row>
    <row r="4234" s="1" customFormat="1" customHeight="1" spans="1:6">
      <c r="A4234" s="9" t="str">
        <f>"10280114202"</f>
        <v>10280114202</v>
      </c>
      <c r="B4234" s="10">
        <v>40.9</v>
      </c>
      <c r="C4234" s="9"/>
      <c r="D4234" s="9">
        <f t="shared" si="66"/>
        <v>40.9</v>
      </c>
      <c r="E4234" s="11"/>
      <c r="F4234" s="9"/>
    </row>
    <row r="4235" s="1" customFormat="1" customHeight="1" spans="1:6">
      <c r="A4235" s="9" t="str">
        <f>"10440114203"</f>
        <v>10440114203</v>
      </c>
      <c r="B4235" s="10">
        <v>0</v>
      </c>
      <c r="C4235" s="9"/>
      <c r="D4235" s="9">
        <f t="shared" si="66"/>
        <v>0</v>
      </c>
      <c r="E4235" s="11"/>
      <c r="F4235" s="9" t="s">
        <v>7</v>
      </c>
    </row>
    <row r="4236" s="1" customFormat="1" customHeight="1" spans="1:6">
      <c r="A4236" s="9" t="str">
        <f>"10510114204"</f>
        <v>10510114204</v>
      </c>
      <c r="B4236" s="10">
        <v>44.52</v>
      </c>
      <c r="C4236" s="9"/>
      <c r="D4236" s="9">
        <f t="shared" si="66"/>
        <v>44.52</v>
      </c>
      <c r="E4236" s="11"/>
      <c r="F4236" s="9"/>
    </row>
    <row r="4237" s="1" customFormat="1" customHeight="1" spans="1:6">
      <c r="A4237" s="9" t="str">
        <f>"10010114205"</f>
        <v>10010114205</v>
      </c>
      <c r="B4237" s="10">
        <v>40.78</v>
      </c>
      <c r="C4237" s="9"/>
      <c r="D4237" s="9">
        <f t="shared" si="66"/>
        <v>40.78</v>
      </c>
      <c r="E4237" s="11"/>
      <c r="F4237" s="9"/>
    </row>
    <row r="4238" s="1" customFormat="1" customHeight="1" spans="1:6">
      <c r="A4238" s="9" t="str">
        <f>"10210114206"</f>
        <v>10210114206</v>
      </c>
      <c r="B4238" s="10">
        <v>39.8</v>
      </c>
      <c r="C4238" s="9"/>
      <c r="D4238" s="9">
        <f t="shared" si="66"/>
        <v>39.8</v>
      </c>
      <c r="E4238" s="11"/>
      <c r="F4238" s="9"/>
    </row>
    <row r="4239" s="1" customFormat="1" customHeight="1" spans="1:6">
      <c r="A4239" s="9" t="str">
        <f>"20270114207"</f>
        <v>20270114207</v>
      </c>
      <c r="B4239" s="10">
        <v>48.71</v>
      </c>
      <c r="C4239" s="9"/>
      <c r="D4239" s="9">
        <f t="shared" si="66"/>
        <v>48.71</v>
      </c>
      <c r="E4239" s="11"/>
      <c r="F4239" s="9"/>
    </row>
    <row r="4240" s="1" customFormat="1" customHeight="1" spans="1:6">
      <c r="A4240" s="9" t="str">
        <f>"20180114208"</f>
        <v>20180114208</v>
      </c>
      <c r="B4240" s="10">
        <v>35.44</v>
      </c>
      <c r="C4240" s="9"/>
      <c r="D4240" s="9">
        <f t="shared" si="66"/>
        <v>35.44</v>
      </c>
      <c r="E4240" s="11"/>
      <c r="F4240" s="9"/>
    </row>
    <row r="4241" s="1" customFormat="1" customHeight="1" spans="1:6">
      <c r="A4241" s="9" t="str">
        <f>"10330114209"</f>
        <v>10330114209</v>
      </c>
      <c r="B4241" s="10">
        <v>27.82</v>
      </c>
      <c r="C4241" s="9"/>
      <c r="D4241" s="9">
        <f t="shared" si="66"/>
        <v>27.82</v>
      </c>
      <c r="E4241" s="11"/>
      <c r="F4241" s="9"/>
    </row>
    <row r="4242" s="1" customFormat="1" customHeight="1" spans="1:6">
      <c r="A4242" s="9" t="str">
        <f>"10360114210"</f>
        <v>10360114210</v>
      </c>
      <c r="B4242" s="10">
        <v>0</v>
      </c>
      <c r="C4242" s="9"/>
      <c r="D4242" s="9">
        <f t="shared" si="66"/>
        <v>0</v>
      </c>
      <c r="E4242" s="11"/>
      <c r="F4242" s="9" t="s">
        <v>7</v>
      </c>
    </row>
    <row r="4243" s="1" customFormat="1" customHeight="1" spans="1:6">
      <c r="A4243" s="9" t="str">
        <f>"10060114211"</f>
        <v>10060114211</v>
      </c>
      <c r="B4243" s="10">
        <v>40.01</v>
      </c>
      <c r="C4243" s="9"/>
      <c r="D4243" s="9">
        <f t="shared" si="66"/>
        <v>40.01</v>
      </c>
      <c r="E4243" s="11"/>
      <c r="F4243" s="9"/>
    </row>
    <row r="4244" s="1" customFormat="1" customHeight="1" spans="1:6">
      <c r="A4244" s="9" t="str">
        <f>"10380114212"</f>
        <v>10380114212</v>
      </c>
      <c r="B4244" s="10">
        <v>0</v>
      </c>
      <c r="C4244" s="9"/>
      <c r="D4244" s="9">
        <f t="shared" si="66"/>
        <v>0</v>
      </c>
      <c r="E4244" s="11"/>
      <c r="F4244" s="9" t="s">
        <v>7</v>
      </c>
    </row>
    <row r="4245" s="1" customFormat="1" customHeight="1" spans="1:6">
      <c r="A4245" s="9" t="str">
        <f>"10440114213"</f>
        <v>10440114213</v>
      </c>
      <c r="B4245" s="10">
        <v>45.51</v>
      </c>
      <c r="C4245" s="9"/>
      <c r="D4245" s="9">
        <f t="shared" si="66"/>
        <v>45.51</v>
      </c>
      <c r="E4245" s="11"/>
      <c r="F4245" s="9"/>
    </row>
    <row r="4246" s="1" customFormat="1" customHeight="1" spans="1:6">
      <c r="A4246" s="9" t="str">
        <f>"10430114214"</f>
        <v>10430114214</v>
      </c>
      <c r="B4246" s="10">
        <v>44.28</v>
      </c>
      <c r="C4246" s="9"/>
      <c r="D4246" s="9">
        <f t="shared" si="66"/>
        <v>44.28</v>
      </c>
      <c r="E4246" s="11"/>
      <c r="F4246" s="9"/>
    </row>
    <row r="4247" s="1" customFormat="1" customHeight="1" spans="1:6">
      <c r="A4247" s="9" t="str">
        <f>"10530114215"</f>
        <v>10530114215</v>
      </c>
      <c r="B4247" s="10">
        <v>0</v>
      </c>
      <c r="C4247" s="9"/>
      <c r="D4247" s="9">
        <f t="shared" si="66"/>
        <v>0</v>
      </c>
      <c r="E4247" s="11"/>
      <c r="F4247" s="9" t="s">
        <v>7</v>
      </c>
    </row>
    <row r="4248" s="1" customFormat="1" customHeight="1" spans="1:6">
      <c r="A4248" s="9" t="str">
        <f>"10070114216"</f>
        <v>10070114216</v>
      </c>
      <c r="B4248" s="10">
        <v>42.48</v>
      </c>
      <c r="C4248" s="9"/>
      <c r="D4248" s="9">
        <f t="shared" si="66"/>
        <v>42.48</v>
      </c>
      <c r="E4248" s="11"/>
      <c r="F4248" s="9"/>
    </row>
    <row r="4249" s="1" customFormat="1" customHeight="1" spans="1:6">
      <c r="A4249" s="9" t="str">
        <f>"10110114217"</f>
        <v>10110114217</v>
      </c>
      <c r="B4249" s="10">
        <v>47.74</v>
      </c>
      <c r="C4249" s="9"/>
      <c r="D4249" s="9">
        <f t="shared" si="66"/>
        <v>47.74</v>
      </c>
      <c r="E4249" s="11"/>
      <c r="F4249" s="9"/>
    </row>
    <row r="4250" s="1" customFormat="1" customHeight="1" spans="1:6">
      <c r="A4250" s="9" t="str">
        <f>"10350114218"</f>
        <v>10350114218</v>
      </c>
      <c r="B4250" s="10">
        <v>0</v>
      </c>
      <c r="C4250" s="9"/>
      <c r="D4250" s="9">
        <f t="shared" si="66"/>
        <v>0</v>
      </c>
      <c r="E4250" s="11"/>
      <c r="F4250" s="9" t="s">
        <v>7</v>
      </c>
    </row>
    <row r="4251" s="1" customFormat="1" customHeight="1" spans="1:6">
      <c r="A4251" s="9" t="str">
        <f>"10360114219"</f>
        <v>10360114219</v>
      </c>
      <c r="B4251" s="10">
        <v>0</v>
      </c>
      <c r="C4251" s="9"/>
      <c r="D4251" s="9">
        <f t="shared" si="66"/>
        <v>0</v>
      </c>
      <c r="E4251" s="11"/>
      <c r="F4251" s="9" t="s">
        <v>7</v>
      </c>
    </row>
    <row r="4252" s="1" customFormat="1" customHeight="1" spans="1:6">
      <c r="A4252" s="9" t="str">
        <f>"10530114220"</f>
        <v>10530114220</v>
      </c>
      <c r="B4252" s="10">
        <v>42.42</v>
      </c>
      <c r="C4252" s="9"/>
      <c r="D4252" s="9">
        <f t="shared" si="66"/>
        <v>42.42</v>
      </c>
      <c r="E4252" s="11"/>
      <c r="F4252" s="9"/>
    </row>
    <row r="4253" s="1" customFormat="1" customHeight="1" spans="1:6">
      <c r="A4253" s="9" t="str">
        <f>"10070114221"</f>
        <v>10070114221</v>
      </c>
      <c r="B4253" s="10">
        <v>51.1</v>
      </c>
      <c r="C4253" s="9"/>
      <c r="D4253" s="9">
        <f t="shared" si="66"/>
        <v>51.1</v>
      </c>
      <c r="E4253" s="11"/>
      <c r="F4253" s="9"/>
    </row>
    <row r="4254" s="1" customFormat="1" customHeight="1" spans="1:6">
      <c r="A4254" s="9" t="str">
        <f>"10300114222"</f>
        <v>10300114222</v>
      </c>
      <c r="B4254" s="10">
        <v>0</v>
      </c>
      <c r="C4254" s="9"/>
      <c r="D4254" s="9">
        <f t="shared" si="66"/>
        <v>0</v>
      </c>
      <c r="E4254" s="11"/>
      <c r="F4254" s="9" t="s">
        <v>7</v>
      </c>
    </row>
    <row r="4255" s="1" customFormat="1" customHeight="1" spans="1:6">
      <c r="A4255" s="9" t="str">
        <f>"10110114223"</f>
        <v>10110114223</v>
      </c>
      <c r="B4255" s="10">
        <v>46.14</v>
      </c>
      <c r="C4255" s="9"/>
      <c r="D4255" s="9">
        <f t="shared" si="66"/>
        <v>46.14</v>
      </c>
      <c r="E4255" s="11"/>
      <c r="F4255" s="9"/>
    </row>
    <row r="4256" s="1" customFormat="1" customHeight="1" spans="1:6">
      <c r="A4256" s="9" t="str">
        <f>"10530114224"</f>
        <v>10530114224</v>
      </c>
      <c r="B4256" s="10">
        <v>43.62</v>
      </c>
      <c r="C4256" s="9"/>
      <c r="D4256" s="9">
        <f t="shared" si="66"/>
        <v>43.62</v>
      </c>
      <c r="E4256" s="11"/>
      <c r="F4256" s="9"/>
    </row>
    <row r="4257" s="1" customFormat="1" customHeight="1" spans="1:6">
      <c r="A4257" s="9" t="str">
        <f>"10140114225"</f>
        <v>10140114225</v>
      </c>
      <c r="B4257" s="10">
        <v>50.93</v>
      </c>
      <c r="C4257" s="9"/>
      <c r="D4257" s="9">
        <f t="shared" si="66"/>
        <v>50.93</v>
      </c>
      <c r="E4257" s="11"/>
      <c r="F4257" s="9"/>
    </row>
    <row r="4258" s="1" customFormat="1" customHeight="1" spans="1:6">
      <c r="A4258" s="9" t="str">
        <f>"10020114226"</f>
        <v>10020114226</v>
      </c>
      <c r="B4258" s="10">
        <v>40.04</v>
      </c>
      <c r="C4258" s="9"/>
      <c r="D4258" s="9">
        <f t="shared" si="66"/>
        <v>40.04</v>
      </c>
      <c r="E4258" s="11"/>
      <c r="F4258" s="9"/>
    </row>
    <row r="4259" s="1" customFormat="1" customHeight="1" spans="1:6">
      <c r="A4259" s="9" t="str">
        <f>"10530114227"</f>
        <v>10530114227</v>
      </c>
      <c r="B4259" s="10">
        <v>40.3</v>
      </c>
      <c r="C4259" s="9"/>
      <c r="D4259" s="9">
        <f t="shared" si="66"/>
        <v>40.3</v>
      </c>
      <c r="E4259" s="11"/>
      <c r="F4259" s="9"/>
    </row>
    <row r="4260" s="1" customFormat="1" customHeight="1" spans="1:6">
      <c r="A4260" s="9" t="str">
        <f>"10150114228"</f>
        <v>10150114228</v>
      </c>
      <c r="B4260" s="10">
        <v>31.3</v>
      </c>
      <c r="C4260" s="9"/>
      <c r="D4260" s="9">
        <f t="shared" si="66"/>
        <v>31.3</v>
      </c>
      <c r="E4260" s="11"/>
      <c r="F4260" s="9"/>
    </row>
    <row r="4261" s="1" customFormat="1" customHeight="1" spans="1:6">
      <c r="A4261" s="9" t="str">
        <f>"10070114229"</f>
        <v>10070114229</v>
      </c>
      <c r="B4261" s="10">
        <v>37.51</v>
      </c>
      <c r="C4261" s="9"/>
      <c r="D4261" s="9">
        <f t="shared" si="66"/>
        <v>37.51</v>
      </c>
      <c r="E4261" s="11"/>
      <c r="F4261" s="9"/>
    </row>
    <row r="4262" s="1" customFormat="1" customHeight="1" spans="1:6">
      <c r="A4262" s="9" t="str">
        <f>"10480114230"</f>
        <v>10480114230</v>
      </c>
      <c r="B4262" s="10">
        <v>45.66</v>
      </c>
      <c r="C4262" s="9"/>
      <c r="D4262" s="9">
        <f t="shared" si="66"/>
        <v>45.66</v>
      </c>
      <c r="E4262" s="11"/>
      <c r="F4262" s="9"/>
    </row>
    <row r="4263" s="1" customFormat="1" customHeight="1" spans="1:6">
      <c r="A4263" s="9" t="str">
        <f>"10360114301"</f>
        <v>10360114301</v>
      </c>
      <c r="B4263" s="10">
        <v>43.37</v>
      </c>
      <c r="C4263" s="9"/>
      <c r="D4263" s="9">
        <f t="shared" si="66"/>
        <v>43.37</v>
      </c>
      <c r="E4263" s="11"/>
      <c r="F4263" s="9"/>
    </row>
    <row r="4264" s="1" customFormat="1" customHeight="1" spans="1:6">
      <c r="A4264" s="9" t="str">
        <f>"10530114302"</f>
        <v>10530114302</v>
      </c>
      <c r="B4264" s="10">
        <v>0</v>
      </c>
      <c r="C4264" s="9"/>
      <c r="D4264" s="9">
        <f t="shared" si="66"/>
        <v>0</v>
      </c>
      <c r="E4264" s="11"/>
      <c r="F4264" s="9" t="s">
        <v>7</v>
      </c>
    </row>
    <row r="4265" s="1" customFormat="1" customHeight="1" spans="1:6">
      <c r="A4265" s="9" t="str">
        <f>"10360114303"</f>
        <v>10360114303</v>
      </c>
      <c r="B4265" s="10">
        <v>48.51</v>
      </c>
      <c r="C4265" s="9"/>
      <c r="D4265" s="9">
        <f t="shared" si="66"/>
        <v>48.51</v>
      </c>
      <c r="E4265" s="11"/>
      <c r="F4265" s="9"/>
    </row>
    <row r="4266" s="1" customFormat="1" customHeight="1" spans="1:6">
      <c r="A4266" s="9" t="str">
        <f>"10450114304"</f>
        <v>10450114304</v>
      </c>
      <c r="B4266" s="10">
        <v>49.47</v>
      </c>
      <c r="C4266" s="9"/>
      <c r="D4266" s="9">
        <f t="shared" si="66"/>
        <v>49.47</v>
      </c>
      <c r="E4266" s="11"/>
      <c r="F4266" s="9"/>
    </row>
    <row r="4267" s="1" customFormat="1" customHeight="1" spans="1:6">
      <c r="A4267" s="9" t="str">
        <f>"10360114305"</f>
        <v>10360114305</v>
      </c>
      <c r="B4267" s="10">
        <v>45.38</v>
      </c>
      <c r="C4267" s="9"/>
      <c r="D4267" s="9">
        <f t="shared" si="66"/>
        <v>45.38</v>
      </c>
      <c r="E4267" s="11"/>
      <c r="F4267" s="9"/>
    </row>
    <row r="4268" s="1" customFormat="1" customHeight="1" spans="1:6">
      <c r="A4268" s="9" t="str">
        <f>"10360114306"</f>
        <v>10360114306</v>
      </c>
      <c r="B4268" s="10">
        <v>37.41</v>
      </c>
      <c r="C4268" s="9"/>
      <c r="D4268" s="9">
        <f t="shared" si="66"/>
        <v>37.41</v>
      </c>
      <c r="E4268" s="11"/>
      <c r="F4268" s="9"/>
    </row>
    <row r="4269" s="1" customFormat="1" customHeight="1" spans="1:6">
      <c r="A4269" s="9" t="str">
        <f>"10210114307"</f>
        <v>10210114307</v>
      </c>
      <c r="B4269" s="10">
        <v>0</v>
      </c>
      <c r="C4269" s="9"/>
      <c r="D4269" s="9">
        <f t="shared" si="66"/>
        <v>0</v>
      </c>
      <c r="E4269" s="11"/>
      <c r="F4269" s="9" t="s">
        <v>7</v>
      </c>
    </row>
    <row r="4270" s="1" customFormat="1" customHeight="1" spans="1:6">
      <c r="A4270" s="9" t="str">
        <f>"10530114308"</f>
        <v>10530114308</v>
      </c>
      <c r="B4270" s="10">
        <v>0</v>
      </c>
      <c r="C4270" s="9"/>
      <c r="D4270" s="9">
        <f t="shared" si="66"/>
        <v>0</v>
      </c>
      <c r="E4270" s="11"/>
      <c r="F4270" s="9" t="s">
        <v>7</v>
      </c>
    </row>
    <row r="4271" s="1" customFormat="1" customHeight="1" spans="1:6">
      <c r="A4271" s="9" t="str">
        <f>"10080114309"</f>
        <v>10080114309</v>
      </c>
      <c r="B4271" s="10">
        <v>0</v>
      </c>
      <c r="C4271" s="9"/>
      <c r="D4271" s="9">
        <f t="shared" si="66"/>
        <v>0</v>
      </c>
      <c r="E4271" s="11"/>
      <c r="F4271" s="9" t="s">
        <v>7</v>
      </c>
    </row>
    <row r="4272" s="1" customFormat="1" customHeight="1" spans="1:6">
      <c r="A4272" s="9" t="str">
        <f>"10120114310"</f>
        <v>10120114310</v>
      </c>
      <c r="B4272" s="10">
        <v>41.68</v>
      </c>
      <c r="C4272" s="9"/>
      <c r="D4272" s="9">
        <f t="shared" si="66"/>
        <v>41.68</v>
      </c>
      <c r="E4272" s="11"/>
      <c r="F4272" s="9"/>
    </row>
    <row r="4273" s="1" customFormat="1" customHeight="1" spans="1:6">
      <c r="A4273" s="9" t="str">
        <f>"10530114311"</f>
        <v>10530114311</v>
      </c>
      <c r="B4273" s="10">
        <v>0</v>
      </c>
      <c r="C4273" s="9"/>
      <c r="D4273" s="9">
        <f t="shared" si="66"/>
        <v>0</v>
      </c>
      <c r="E4273" s="11"/>
      <c r="F4273" s="9" t="s">
        <v>7</v>
      </c>
    </row>
    <row r="4274" s="1" customFormat="1" customHeight="1" spans="1:6">
      <c r="A4274" s="9" t="str">
        <f>"10530114312"</f>
        <v>10530114312</v>
      </c>
      <c r="B4274" s="10">
        <v>45</v>
      </c>
      <c r="C4274" s="9"/>
      <c r="D4274" s="9">
        <f t="shared" si="66"/>
        <v>45</v>
      </c>
      <c r="E4274" s="11"/>
      <c r="F4274" s="9"/>
    </row>
    <row r="4275" s="1" customFormat="1" customHeight="1" spans="1:6">
      <c r="A4275" s="9" t="str">
        <f>"10120114313"</f>
        <v>10120114313</v>
      </c>
      <c r="B4275" s="10">
        <v>41.94</v>
      </c>
      <c r="C4275" s="9"/>
      <c r="D4275" s="9">
        <f t="shared" si="66"/>
        <v>41.94</v>
      </c>
      <c r="E4275" s="11"/>
      <c r="F4275" s="9"/>
    </row>
    <row r="4276" s="1" customFormat="1" customHeight="1" spans="1:6">
      <c r="A4276" s="9" t="str">
        <f>"10110114314"</f>
        <v>10110114314</v>
      </c>
      <c r="B4276" s="10">
        <v>42.81</v>
      </c>
      <c r="C4276" s="9"/>
      <c r="D4276" s="9">
        <f t="shared" si="66"/>
        <v>42.81</v>
      </c>
      <c r="E4276" s="11"/>
      <c r="F4276" s="9"/>
    </row>
    <row r="4277" s="1" customFormat="1" customHeight="1" spans="1:6">
      <c r="A4277" s="9" t="str">
        <f>"10310114315"</f>
        <v>10310114315</v>
      </c>
      <c r="B4277" s="10">
        <v>35.71</v>
      </c>
      <c r="C4277" s="9"/>
      <c r="D4277" s="9">
        <f t="shared" si="66"/>
        <v>35.71</v>
      </c>
      <c r="E4277" s="11"/>
      <c r="F4277" s="9"/>
    </row>
    <row r="4278" s="1" customFormat="1" customHeight="1" spans="1:6">
      <c r="A4278" s="9" t="str">
        <f>"10100114316"</f>
        <v>10100114316</v>
      </c>
      <c r="B4278" s="10">
        <v>0</v>
      </c>
      <c r="C4278" s="9"/>
      <c r="D4278" s="9">
        <f t="shared" si="66"/>
        <v>0</v>
      </c>
      <c r="E4278" s="11"/>
      <c r="F4278" s="9" t="s">
        <v>7</v>
      </c>
    </row>
    <row r="4279" s="1" customFormat="1" customHeight="1" spans="1:6">
      <c r="A4279" s="9" t="str">
        <f>"10300114317"</f>
        <v>10300114317</v>
      </c>
      <c r="B4279" s="10">
        <v>38.18</v>
      </c>
      <c r="C4279" s="9"/>
      <c r="D4279" s="9">
        <f t="shared" si="66"/>
        <v>38.18</v>
      </c>
      <c r="E4279" s="11"/>
      <c r="F4279" s="9"/>
    </row>
    <row r="4280" s="1" customFormat="1" customHeight="1" spans="1:6">
      <c r="A4280" s="9" t="str">
        <f>"10300114318"</f>
        <v>10300114318</v>
      </c>
      <c r="B4280" s="10">
        <v>40.8</v>
      </c>
      <c r="C4280" s="9"/>
      <c r="D4280" s="9">
        <f t="shared" si="66"/>
        <v>40.8</v>
      </c>
      <c r="E4280" s="11"/>
      <c r="F4280" s="9"/>
    </row>
    <row r="4281" s="1" customFormat="1" customHeight="1" spans="1:6">
      <c r="A4281" s="9" t="str">
        <f>"10520114319"</f>
        <v>10520114319</v>
      </c>
      <c r="B4281" s="10">
        <v>37.49</v>
      </c>
      <c r="C4281" s="9"/>
      <c r="D4281" s="9">
        <f t="shared" si="66"/>
        <v>37.49</v>
      </c>
      <c r="E4281" s="11"/>
      <c r="F4281" s="9"/>
    </row>
    <row r="4282" s="1" customFormat="1" customHeight="1" spans="1:6">
      <c r="A4282" s="9" t="str">
        <f>"10530114320"</f>
        <v>10530114320</v>
      </c>
      <c r="B4282" s="10">
        <v>0</v>
      </c>
      <c r="C4282" s="9"/>
      <c r="D4282" s="9">
        <f t="shared" si="66"/>
        <v>0</v>
      </c>
      <c r="E4282" s="11"/>
      <c r="F4282" s="9" t="s">
        <v>7</v>
      </c>
    </row>
    <row r="4283" s="1" customFormat="1" customHeight="1" spans="1:6">
      <c r="A4283" s="9" t="str">
        <f>"10020114321"</f>
        <v>10020114321</v>
      </c>
      <c r="B4283" s="10">
        <v>44.77</v>
      </c>
      <c r="C4283" s="9"/>
      <c r="D4283" s="9">
        <f t="shared" si="66"/>
        <v>44.77</v>
      </c>
      <c r="E4283" s="11"/>
      <c r="F4283" s="9"/>
    </row>
    <row r="4284" s="1" customFormat="1" customHeight="1" spans="1:6">
      <c r="A4284" s="9" t="str">
        <f>"10300114322"</f>
        <v>10300114322</v>
      </c>
      <c r="B4284" s="10">
        <v>29.18</v>
      </c>
      <c r="C4284" s="9"/>
      <c r="D4284" s="9">
        <f t="shared" si="66"/>
        <v>29.18</v>
      </c>
      <c r="E4284" s="11"/>
      <c r="F4284" s="9"/>
    </row>
    <row r="4285" s="1" customFormat="1" customHeight="1" spans="1:6">
      <c r="A4285" s="9" t="str">
        <f>"10360114323"</f>
        <v>10360114323</v>
      </c>
      <c r="B4285" s="10">
        <v>45</v>
      </c>
      <c r="C4285" s="9"/>
      <c r="D4285" s="9">
        <f t="shared" si="66"/>
        <v>45</v>
      </c>
      <c r="E4285" s="11"/>
      <c r="F4285" s="9"/>
    </row>
    <row r="4286" s="1" customFormat="1" customHeight="1" spans="1:6">
      <c r="A4286" s="9" t="str">
        <f>"10360114324"</f>
        <v>10360114324</v>
      </c>
      <c r="B4286" s="10">
        <v>40.5</v>
      </c>
      <c r="C4286" s="9"/>
      <c r="D4286" s="9">
        <f t="shared" si="66"/>
        <v>40.5</v>
      </c>
      <c r="E4286" s="11"/>
      <c r="F4286" s="9"/>
    </row>
    <row r="4287" s="1" customFormat="1" customHeight="1" spans="1:6">
      <c r="A4287" s="9" t="str">
        <f>"10530114325"</f>
        <v>10530114325</v>
      </c>
      <c r="B4287" s="10">
        <v>0</v>
      </c>
      <c r="C4287" s="9"/>
      <c r="D4287" s="9">
        <f t="shared" si="66"/>
        <v>0</v>
      </c>
      <c r="E4287" s="11"/>
      <c r="F4287" s="9" t="s">
        <v>7</v>
      </c>
    </row>
    <row r="4288" s="1" customFormat="1" customHeight="1" spans="1:6">
      <c r="A4288" s="9" t="str">
        <f>"10130114326"</f>
        <v>10130114326</v>
      </c>
      <c r="B4288" s="10">
        <v>0</v>
      </c>
      <c r="C4288" s="9"/>
      <c r="D4288" s="9">
        <f t="shared" si="66"/>
        <v>0</v>
      </c>
      <c r="E4288" s="11"/>
      <c r="F4288" s="9" t="s">
        <v>7</v>
      </c>
    </row>
    <row r="4289" s="1" customFormat="1" customHeight="1" spans="1:6">
      <c r="A4289" s="9" t="str">
        <f>"10080114327"</f>
        <v>10080114327</v>
      </c>
      <c r="B4289" s="10">
        <v>55</v>
      </c>
      <c r="C4289" s="9"/>
      <c r="D4289" s="9">
        <f t="shared" si="66"/>
        <v>55</v>
      </c>
      <c r="E4289" s="11"/>
      <c r="F4289" s="9"/>
    </row>
    <row r="4290" s="1" customFormat="1" customHeight="1" spans="1:6">
      <c r="A4290" s="9" t="str">
        <f>"10400114328"</f>
        <v>10400114328</v>
      </c>
      <c r="B4290" s="10">
        <v>0</v>
      </c>
      <c r="C4290" s="9"/>
      <c r="D4290" s="9">
        <f t="shared" si="66"/>
        <v>0</v>
      </c>
      <c r="E4290" s="11"/>
      <c r="F4290" s="9" t="s">
        <v>7</v>
      </c>
    </row>
    <row r="4291" s="1" customFormat="1" customHeight="1" spans="1:6">
      <c r="A4291" s="9" t="str">
        <f>"10290114329"</f>
        <v>10290114329</v>
      </c>
      <c r="B4291" s="10">
        <v>48.71</v>
      </c>
      <c r="C4291" s="9"/>
      <c r="D4291" s="9">
        <f t="shared" ref="D4291:D4354" si="67">SUM(B4291:C4291)</f>
        <v>48.71</v>
      </c>
      <c r="E4291" s="11"/>
      <c r="F4291" s="9"/>
    </row>
    <row r="4292" s="1" customFormat="1" customHeight="1" spans="1:6">
      <c r="A4292" s="9" t="str">
        <f>"10080114330"</f>
        <v>10080114330</v>
      </c>
      <c r="B4292" s="10">
        <v>35.58</v>
      </c>
      <c r="C4292" s="9"/>
      <c r="D4292" s="9">
        <f t="shared" si="67"/>
        <v>35.58</v>
      </c>
      <c r="E4292" s="11"/>
      <c r="F4292" s="9"/>
    </row>
    <row r="4293" s="1" customFormat="1" customHeight="1" spans="1:6">
      <c r="A4293" s="9" t="str">
        <f>"10290114401"</f>
        <v>10290114401</v>
      </c>
      <c r="B4293" s="10">
        <v>49.24</v>
      </c>
      <c r="C4293" s="9"/>
      <c r="D4293" s="9">
        <f t="shared" si="67"/>
        <v>49.24</v>
      </c>
      <c r="E4293" s="11"/>
      <c r="F4293" s="9"/>
    </row>
    <row r="4294" s="1" customFormat="1" customHeight="1" spans="1:6">
      <c r="A4294" s="9" t="str">
        <f>"10170114402"</f>
        <v>10170114402</v>
      </c>
      <c r="B4294" s="10">
        <v>46.14</v>
      </c>
      <c r="C4294" s="9"/>
      <c r="D4294" s="9">
        <f t="shared" si="67"/>
        <v>46.14</v>
      </c>
      <c r="E4294" s="11"/>
      <c r="F4294" s="9"/>
    </row>
    <row r="4295" s="1" customFormat="1" customHeight="1" spans="1:6">
      <c r="A4295" s="9" t="str">
        <f>"10320114403"</f>
        <v>10320114403</v>
      </c>
      <c r="B4295" s="10">
        <v>43.98</v>
      </c>
      <c r="C4295" s="9"/>
      <c r="D4295" s="9">
        <f t="shared" si="67"/>
        <v>43.98</v>
      </c>
      <c r="E4295" s="11"/>
      <c r="F4295" s="9"/>
    </row>
    <row r="4296" s="1" customFormat="1" customHeight="1" spans="1:6">
      <c r="A4296" s="9" t="str">
        <f>"10360114404"</f>
        <v>10360114404</v>
      </c>
      <c r="B4296" s="10">
        <v>42.42</v>
      </c>
      <c r="C4296" s="9"/>
      <c r="D4296" s="9">
        <f t="shared" si="67"/>
        <v>42.42</v>
      </c>
      <c r="E4296" s="11"/>
      <c r="F4296" s="9"/>
    </row>
    <row r="4297" s="1" customFormat="1" customHeight="1" spans="1:6">
      <c r="A4297" s="9" t="str">
        <f>"10430114405"</f>
        <v>10430114405</v>
      </c>
      <c r="B4297" s="10">
        <v>41.98</v>
      </c>
      <c r="C4297" s="9"/>
      <c r="D4297" s="9">
        <f t="shared" si="67"/>
        <v>41.98</v>
      </c>
      <c r="E4297" s="11"/>
      <c r="F4297" s="9"/>
    </row>
    <row r="4298" s="1" customFormat="1" customHeight="1" spans="1:6">
      <c r="A4298" s="9" t="str">
        <f>"10240114406"</f>
        <v>10240114406</v>
      </c>
      <c r="B4298" s="10">
        <v>42.97</v>
      </c>
      <c r="C4298" s="9"/>
      <c r="D4298" s="9">
        <f t="shared" si="67"/>
        <v>42.97</v>
      </c>
      <c r="E4298" s="11"/>
      <c r="F4298" s="9"/>
    </row>
    <row r="4299" s="1" customFormat="1" customHeight="1" spans="1:6">
      <c r="A4299" s="9" t="str">
        <f>"10500114407"</f>
        <v>10500114407</v>
      </c>
      <c r="B4299" s="10">
        <v>41.9</v>
      </c>
      <c r="C4299" s="9"/>
      <c r="D4299" s="9">
        <f t="shared" si="67"/>
        <v>41.9</v>
      </c>
      <c r="E4299" s="11"/>
      <c r="F4299" s="9"/>
    </row>
    <row r="4300" s="1" customFormat="1" customHeight="1" spans="1:6">
      <c r="A4300" s="9" t="str">
        <f>"20270114408"</f>
        <v>20270114408</v>
      </c>
      <c r="B4300" s="10">
        <v>57.81</v>
      </c>
      <c r="C4300" s="9"/>
      <c r="D4300" s="9">
        <f t="shared" si="67"/>
        <v>57.81</v>
      </c>
      <c r="E4300" s="11"/>
      <c r="F4300" s="9"/>
    </row>
    <row r="4301" s="1" customFormat="1" customHeight="1" spans="1:6">
      <c r="A4301" s="9" t="str">
        <f>"10110114409"</f>
        <v>10110114409</v>
      </c>
      <c r="B4301" s="10">
        <v>0</v>
      </c>
      <c r="C4301" s="9"/>
      <c r="D4301" s="9">
        <f t="shared" si="67"/>
        <v>0</v>
      </c>
      <c r="E4301" s="11"/>
      <c r="F4301" s="9" t="s">
        <v>7</v>
      </c>
    </row>
    <row r="4302" s="1" customFormat="1" customHeight="1" spans="1:6">
      <c r="A4302" s="9" t="str">
        <f>"10080114410"</f>
        <v>10080114410</v>
      </c>
      <c r="B4302" s="10">
        <v>54.29</v>
      </c>
      <c r="C4302" s="9"/>
      <c r="D4302" s="9">
        <f t="shared" si="67"/>
        <v>54.29</v>
      </c>
      <c r="E4302" s="11"/>
      <c r="F4302" s="9"/>
    </row>
    <row r="4303" s="1" customFormat="1" customHeight="1" spans="1:6">
      <c r="A4303" s="9" t="str">
        <f>"10290114411"</f>
        <v>10290114411</v>
      </c>
      <c r="B4303" s="10">
        <v>47.06</v>
      </c>
      <c r="C4303" s="9"/>
      <c r="D4303" s="9">
        <f t="shared" si="67"/>
        <v>47.06</v>
      </c>
      <c r="E4303" s="11"/>
      <c r="F4303" s="9"/>
    </row>
    <row r="4304" s="1" customFormat="1" customHeight="1" spans="1:6">
      <c r="A4304" s="9" t="str">
        <f>"10360114412"</f>
        <v>10360114412</v>
      </c>
      <c r="B4304" s="10">
        <v>0</v>
      </c>
      <c r="C4304" s="9"/>
      <c r="D4304" s="9">
        <f t="shared" si="67"/>
        <v>0</v>
      </c>
      <c r="E4304" s="11"/>
      <c r="F4304" s="9" t="s">
        <v>7</v>
      </c>
    </row>
    <row r="4305" s="1" customFormat="1" customHeight="1" spans="1:6">
      <c r="A4305" s="9" t="str">
        <f>"10360114413"</f>
        <v>10360114413</v>
      </c>
      <c r="B4305" s="10">
        <v>42.73</v>
      </c>
      <c r="C4305" s="9"/>
      <c r="D4305" s="9">
        <f t="shared" si="67"/>
        <v>42.73</v>
      </c>
      <c r="E4305" s="11"/>
      <c r="F4305" s="9"/>
    </row>
    <row r="4306" s="1" customFormat="1" customHeight="1" spans="1:6">
      <c r="A4306" s="9" t="str">
        <f>"10140114414"</f>
        <v>10140114414</v>
      </c>
      <c r="B4306" s="10">
        <v>0</v>
      </c>
      <c r="C4306" s="9"/>
      <c r="D4306" s="9">
        <f t="shared" si="67"/>
        <v>0</v>
      </c>
      <c r="E4306" s="11"/>
      <c r="F4306" s="9" t="s">
        <v>7</v>
      </c>
    </row>
    <row r="4307" s="1" customFormat="1" customHeight="1" spans="1:6">
      <c r="A4307" s="9" t="str">
        <f>"10210114415"</f>
        <v>10210114415</v>
      </c>
      <c r="B4307" s="10">
        <v>0</v>
      </c>
      <c r="C4307" s="9"/>
      <c r="D4307" s="9">
        <f t="shared" si="67"/>
        <v>0</v>
      </c>
      <c r="E4307" s="11"/>
      <c r="F4307" s="9" t="s">
        <v>7</v>
      </c>
    </row>
    <row r="4308" s="1" customFormat="1" customHeight="1" spans="1:6">
      <c r="A4308" s="9" t="str">
        <f>"10200114416"</f>
        <v>10200114416</v>
      </c>
      <c r="B4308" s="10">
        <v>40.9</v>
      </c>
      <c r="C4308" s="9"/>
      <c r="D4308" s="9">
        <f t="shared" si="67"/>
        <v>40.9</v>
      </c>
      <c r="E4308" s="11"/>
      <c r="F4308" s="9"/>
    </row>
    <row r="4309" s="1" customFormat="1" customHeight="1" spans="1:6">
      <c r="A4309" s="9" t="str">
        <f>"10360114417"</f>
        <v>10360114417</v>
      </c>
      <c r="B4309" s="10">
        <v>37.28</v>
      </c>
      <c r="C4309" s="9"/>
      <c r="D4309" s="9">
        <f t="shared" si="67"/>
        <v>37.28</v>
      </c>
      <c r="E4309" s="11"/>
      <c r="F4309" s="9"/>
    </row>
    <row r="4310" s="1" customFormat="1" customHeight="1" spans="1:6">
      <c r="A4310" s="9" t="str">
        <f>"10160114418"</f>
        <v>10160114418</v>
      </c>
      <c r="B4310" s="10">
        <v>0</v>
      </c>
      <c r="C4310" s="9"/>
      <c r="D4310" s="9">
        <f t="shared" si="67"/>
        <v>0</v>
      </c>
      <c r="E4310" s="11"/>
      <c r="F4310" s="9" t="s">
        <v>7</v>
      </c>
    </row>
    <row r="4311" s="1" customFormat="1" customHeight="1" spans="1:6">
      <c r="A4311" s="9" t="str">
        <f>"10050114419"</f>
        <v>10050114419</v>
      </c>
      <c r="B4311" s="10">
        <v>0</v>
      </c>
      <c r="C4311" s="9"/>
      <c r="D4311" s="9">
        <f t="shared" si="67"/>
        <v>0</v>
      </c>
      <c r="E4311" s="11"/>
      <c r="F4311" s="9" t="s">
        <v>7</v>
      </c>
    </row>
    <row r="4312" s="1" customFormat="1" customHeight="1" spans="1:6">
      <c r="A4312" s="9" t="str">
        <f>"10510114420"</f>
        <v>10510114420</v>
      </c>
      <c r="B4312" s="10">
        <v>36.12</v>
      </c>
      <c r="C4312" s="9"/>
      <c r="D4312" s="9">
        <f t="shared" si="67"/>
        <v>36.12</v>
      </c>
      <c r="E4312" s="11"/>
      <c r="F4312" s="9"/>
    </row>
    <row r="4313" s="1" customFormat="1" customHeight="1" spans="1:6">
      <c r="A4313" s="9" t="str">
        <f>"10330114421"</f>
        <v>10330114421</v>
      </c>
      <c r="B4313" s="10">
        <v>47.45</v>
      </c>
      <c r="C4313" s="9"/>
      <c r="D4313" s="9">
        <f t="shared" si="67"/>
        <v>47.45</v>
      </c>
      <c r="E4313" s="11"/>
      <c r="F4313" s="9"/>
    </row>
    <row r="4314" s="1" customFormat="1" customHeight="1" spans="1:6">
      <c r="A4314" s="9" t="str">
        <f>"10090114422"</f>
        <v>10090114422</v>
      </c>
      <c r="B4314" s="10">
        <v>69.86</v>
      </c>
      <c r="C4314" s="9"/>
      <c r="D4314" s="9">
        <f t="shared" si="67"/>
        <v>69.86</v>
      </c>
      <c r="E4314" s="11"/>
      <c r="F4314" s="9"/>
    </row>
    <row r="4315" s="1" customFormat="1" customHeight="1" spans="1:6">
      <c r="A4315" s="9" t="str">
        <f>"10530114423"</f>
        <v>10530114423</v>
      </c>
      <c r="B4315" s="10">
        <v>34.42</v>
      </c>
      <c r="C4315" s="9"/>
      <c r="D4315" s="9">
        <f t="shared" si="67"/>
        <v>34.42</v>
      </c>
      <c r="E4315" s="11"/>
      <c r="F4315" s="9"/>
    </row>
    <row r="4316" s="1" customFormat="1" customHeight="1" spans="1:6">
      <c r="A4316" s="9" t="str">
        <f>"10330114424"</f>
        <v>10330114424</v>
      </c>
      <c r="B4316" s="10">
        <v>41.63</v>
      </c>
      <c r="C4316" s="9"/>
      <c r="D4316" s="9">
        <f t="shared" si="67"/>
        <v>41.63</v>
      </c>
      <c r="E4316" s="11"/>
      <c r="F4316" s="9"/>
    </row>
    <row r="4317" s="1" customFormat="1" customHeight="1" spans="1:6">
      <c r="A4317" s="9" t="str">
        <f>"10360114425"</f>
        <v>10360114425</v>
      </c>
      <c r="B4317" s="10">
        <v>0</v>
      </c>
      <c r="C4317" s="9"/>
      <c r="D4317" s="9">
        <f t="shared" si="67"/>
        <v>0</v>
      </c>
      <c r="E4317" s="11"/>
      <c r="F4317" s="9" t="s">
        <v>7</v>
      </c>
    </row>
    <row r="4318" s="1" customFormat="1" customHeight="1" spans="1:6">
      <c r="A4318" s="9" t="str">
        <f>"10300114426"</f>
        <v>10300114426</v>
      </c>
      <c r="B4318" s="10">
        <v>36.85</v>
      </c>
      <c r="C4318" s="9"/>
      <c r="D4318" s="9">
        <f t="shared" si="67"/>
        <v>36.85</v>
      </c>
      <c r="E4318" s="11"/>
      <c r="F4318" s="9"/>
    </row>
    <row r="4319" s="1" customFormat="1" customHeight="1" spans="1:6">
      <c r="A4319" s="9" t="str">
        <f>"10100114427"</f>
        <v>10100114427</v>
      </c>
      <c r="B4319" s="10">
        <v>39.82</v>
      </c>
      <c r="C4319" s="9"/>
      <c r="D4319" s="9">
        <f t="shared" si="67"/>
        <v>39.82</v>
      </c>
      <c r="E4319" s="11"/>
      <c r="F4319" s="9"/>
    </row>
    <row r="4320" s="1" customFormat="1" customHeight="1" spans="1:6">
      <c r="A4320" s="9" t="str">
        <f>"10130114428"</f>
        <v>10130114428</v>
      </c>
      <c r="B4320" s="10">
        <v>38.95</v>
      </c>
      <c r="C4320" s="9"/>
      <c r="D4320" s="9">
        <f t="shared" si="67"/>
        <v>38.95</v>
      </c>
      <c r="E4320" s="11"/>
      <c r="F4320" s="9"/>
    </row>
    <row r="4321" s="1" customFormat="1" customHeight="1" spans="1:6">
      <c r="A4321" s="9" t="str">
        <f>"10530114429"</f>
        <v>10530114429</v>
      </c>
      <c r="B4321" s="10">
        <v>33.17</v>
      </c>
      <c r="C4321" s="9"/>
      <c r="D4321" s="9">
        <f t="shared" si="67"/>
        <v>33.17</v>
      </c>
      <c r="E4321" s="11"/>
      <c r="F4321" s="9"/>
    </row>
    <row r="4322" s="1" customFormat="1" customHeight="1" spans="1:6">
      <c r="A4322" s="9" t="str">
        <f>"10360114430"</f>
        <v>10360114430</v>
      </c>
      <c r="B4322" s="10">
        <v>34.26</v>
      </c>
      <c r="C4322" s="9">
        <v>10</v>
      </c>
      <c r="D4322" s="9">
        <f t="shared" si="67"/>
        <v>44.26</v>
      </c>
      <c r="E4322" s="12" t="s">
        <v>8</v>
      </c>
      <c r="F4322" s="9"/>
    </row>
    <row r="4323" s="1" customFormat="1" customHeight="1" spans="1:6">
      <c r="A4323" s="9" t="str">
        <f>"10360114501"</f>
        <v>10360114501</v>
      </c>
      <c r="B4323" s="10">
        <v>0</v>
      </c>
      <c r="C4323" s="9"/>
      <c r="D4323" s="9">
        <f t="shared" si="67"/>
        <v>0</v>
      </c>
      <c r="E4323" s="11"/>
      <c r="F4323" s="9" t="s">
        <v>7</v>
      </c>
    </row>
    <row r="4324" s="1" customFormat="1" customHeight="1" spans="1:6">
      <c r="A4324" s="9" t="str">
        <f>"10300114502"</f>
        <v>10300114502</v>
      </c>
      <c r="B4324" s="10">
        <v>0</v>
      </c>
      <c r="C4324" s="9"/>
      <c r="D4324" s="9">
        <f t="shared" si="67"/>
        <v>0</v>
      </c>
      <c r="E4324" s="11"/>
      <c r="F4324" s="9" t="s">
        <v>7</v>
      </c>
    </row>
    <row r="4325" s="1" customFormat="1" customHeight="1" spans="1:6">
      <c r="A4325" s="9" t="str">
        <f>"10360114503"</f>
        <v>10360114503</v>
      </c>
      <c r="B4325" s="10">
        <v>0</v>
      </c>
      <c r="C4325" s="9"/>
      <c r="D4325" s="9">
        <f t="shared" si="67"/>
        <v>0</v>
      </c>
      <c r="E4325" s="11"/>
      <c r="F4325" s="9" t="s">
        <v>7</v>
      </c>
    </row>
    <row r="4326" s="1" customFormat="1" customHeight="1" spans="1:6">
      <c r="A4326" s="9" t="str">
        <f>"10270114504"</f>
        <v>10270114504</v>
      </c>
      <c r="B4326" s="10">
        <v>41.38</v>
      </c>
      <c r="C4326" s="9"/>
      <c r="D4326" s="9">
        <f t="shared" si="67"/>
        <v>41.38</v>
      </c>
      <c r="E4326" s="11"/>
      <c r="F4326" s="9"/>
    </row>
    <row r="4327" s="1" customFormat="1" customHeight="1" spans="1:6">
      <c r="A4327" s="9" t="str">
        <f>"10040114505"</f>
        <v>10040114505</v>
      </c>
      <c r="B4327" s="10">
        <v>48.32</v>
      </c>
      <c r="C4327" s="9"/>
      <c r="D4327" s="9">
        <f t="shared" si="67"/>
        <v>48.32</v>
      </c>
      <c r="E4327" s="11"/>
      <c r="F4327" s="9"/>
    </row>
    <row r="4328" s="1" customFormat="1" customHeight="1" spans="1:6">
      <c r="A4328" s="9" t="str">
        <f>"10060114506"</f>
        <v>10060114506</v>
      </c>
      <c r="B4328" s="10">
        <v>51.51</v>
      </c>
      <c r="C4328" s="9"/>
      <c r="D4328" s="9">
        <f t="shared" si="67"/>
        <v>51.51</v>
      </c>
      <c r="E4328" s="11"/>
      <c r="F4328" s="9"/>
    </row>
    <row r="4329" s="1" customFormat="1" customHeight="1" spans="1:6">
      <c r="A4329" s="9" t="str">
        <f>"10530114507"</f>
        <v>10530114507</v>
      </c>
      <c r="B4329" s="10">
        <v>40.57</v>
      </c>
      <c r="C4329" s="9"/>
      <c r="D4329" s="9">
        <f t="shared" si="67"/>
        <v>40.57</v>
      </c>
      <c r="E4329" s="11"/>
      <c r="F4329" s="9"/>
    </row>
    <row r="4330" s="1" customFormat="1" customHeight="1" spans="1:6">
      <c r="A4330" s="9" t="str">
        <f>"10360114508"</f>
        <v>10360114508</v>
      </c>
      <c r="B4330" s="10">
        <v>0</v>
      </c>
      <c r="C4330" s="9"/>
      <c r="D4330" s="9">
        <f t="shared" si="67"/>
        <v>0</v>
      </c>
      <c r="E4330" s="11"/>
      <c r="F4330" s="9" t="s">
        <v>7</v>
      </c>
    </row>
    <row r="4331" s="1" customFormat="1" customHeight="1" spans="1:6">
      <c r="A4331" s="9" t="str">
        <f>"10110114509"</f>
        <v>10110114509</v>
      </c>
      <c r="B4331" s="10">
        <v>46.53</v>
      </c>
      <c r="C4331" s="9"/>
      <c r="D4331" s="9">
        <f t="shared" si="67"/>
        <v>46.53</v>
      </c>
      <c r="E4331" s="11"/>
      <c r="F4331" s="9"/>
    </row>
    <row r="4332" s="1" customFormat="1" customHeight="1" spans="1:6">
      <c r="A4332" s="9" t="str">
        <f>"20270114510"</f>
        <v>20270114510</v>
      </c>
      <c r="B4332" s="10">
        <v>0</v>
      </c>
      <c r="C4332" s="9"/>
      <c r="D4332" s="9">
        <f t="shared" si="67"/>
        <v>0</v>
      </c>
      <c r="E4332" s="11"/>
      <c r="F4332" s="9" t="s">
        <v>7</v>
      </c>
    </row>
    <row r="4333" s="1" customFormat="1" customHeight="1" spans="1:6">
      <c r="A4333" s="9" t="str">
        <f>"10360114511"</f>
        <v>10360114511</v>
      </c>
      <c r="B4333" s="10">
        <v>0</v>
      </c>
      <c r="C4333" s="9"/>
      <c r="D4333" s="9">
        <f t="shared" si="67"/>
        <v>0</v>
      </c>
      <c r="E4333" s="11"/>
      <c r="F4333" s="9" t="s">
        <v>7</v>
      </c>
    </row>
    <row r="4334" s="1" customFormat="1" customHeight="1" spans="1:6">
      <c r="A4334" s="9" t="str">
        <f>"10360114512"</f>
        <v>10360114512</v>
      </c>
      <c r="B4334" s="10">
        <v>0</v>
      </c>
      <c r="C4334" s="9"/>
      <c r="D4334" s="9">
        <f t="shared" si="67"/>
        <v>0</v>
      </c>
      <c r="E4334" s="11"/>
      <c r="F4334" s="9" t="s">
        <v>7</v>
      </c>
    </row>
    <row r="4335" s="1" customFormat="1" customHeight="1" spans="1:6">
      <c r="A4335" s="9" t="str">
        <f>"10530114513"</f>
        <v>10530114513</v>
      </c>
      <c r="B4335" s="10">
        <v>0</v>
      </c>
      <c r="C4335" s="9"/>
      <c r="D4335" s="9">
        <f t="shared" si="67"/>
        <v>0</v>
      </c>
      <c r="E4335" s="11"/>
      <c r="F4335" s="9" t="s">
        <v>7</v>
      </c>
    </row>
    <row r="4336" s="1" customFormat="1" customHeight="1" spans="1:6">
      <c r="A4336" s="9" t="str">
        <f>"10300114514"</f>
        <v>10300114514</v>
      </c>
      <c r="B4336" s="10">
        <v>50.61</v>
      </c>
      <c r="C4336" s="9"/>
      <c r="D4336" s="9">
        <f t="shared" si="67"/>
        <v>50.61</v>
      </c>
      <c r="E4336" s="11"/>
      <c r="F4336" s="9"/>
    </row>
    <row r="4337" s="1" customFormat="1" customHeight="1" spans="1:6">
      <c r="A4337" s="9" t="str">
        <f>"10160114515"</f>
        <v>10160114515</v>
      </c>
      <c r="B4337" s="10">
        <v>0</v>
      </c>
      <c r="C4337" s="9"/>
      <c r="D4337" s="9">
        <f t="shared" si="67"/>
        <v>0</v>
      </c>
      <c r="E4337" s="11"/>
      <c r="F4337" s="9" t="s">
        <v>7</v>
      </c>
    </row>
    <row r="4338" s="1" customFormat="1" customHeight="1" spans="1:6">
      <c r="A4338" s="9" t="str">
        <f>"10360114516"</f>
        <v>10360114516</v>
      </c>
      <c r="B4338" s="10">
        <v>40.53</v>
      </c>
      <c r="C4338" s="9"/>
      <c r="D4338" s="9">
        <f t="shared" si="67"/>
        <v>40.53</v>
      </c>
      <c r="E4338" s="11"/>
      <c r="F4338" s="9"/>
    </row>
    <row r="4339" s="1" customFormat="1" customHeight="1" spans="1:6">
      <c r="A4339" s="9" t="str">
        <f>"10460114517"</f>
        <v>10460114517</v>
      </c>
      <c r="B4339" s="10">
        <v>53.13</v>
      </c>
      <c r="C4339" s="9"/>
      <c r="D4339" s="9">
        <f t="shared" si="67"/>
        <v>53.13</v>
      </c>
      <c r="E4339" s="11"/>
      <c r="F4339" s="9"/>
    </row>
    <row r="4340" s="1" customFormat="1" customHeight="1" spans="1:6">
      <c r="A4340" s="9" t="str">
        <f>"10380114518"</f>
        <v>10380114518</v>
      </c>
      <c r="B4340" s="10">
        <v>0</v>
      </c>
      <c r="C4340" s="9"/>
      <c r="D4340" s="9">
        <f t="shared" si="67"/>
        <v>0</v>
      </c>
      <c r="E4340" s="11"/>
      <c r="F4340" s="9" t="s">
        <v>7</v>
      </c>
    </row>
    <row r="4341" s="1" customFormat="1" customHeight="1" spans="1:6">
      <c r="A4341" s="9" t="str">
        <f>"10350114519"</f>
        <v>10350114519</v>
      </c>
      <c r="B4341" s="10">
        <v>43.57</v>
      </c>
      <c r="C4341" s="9"/>
      <c r="D4341" s="9">
        <f t="shared" si="67"/>
        <v>43.57</v>
      </c>
      <c r="E4341" s="11"/>
      <c r="F4341" s="9"/>
    </row>
    <row r="4342" s="1" customFormat="1" customHeight="1" spans="1:6">
      <c r="A4342" s="9" t="str">
        <f>"10060114520"</f>
        <v>10060114520</v>
      </c>
      <c r="B4342" s="10">
        <v>0</v>
      </c>
      <c r="C4342" s="9"/>
      <c r="D4342" s="9">
        <f t="shared" si="67"/>
        <v>0</v>
      </c>
      <c r="E4342" s="11"/>
      <c r="F4342" s="9" t="s">
        <v>7</v>
      </c>
    </row>
    <row r="4343" s="1" customFormat="1" customHeight="1" spans="1:6">
      <c r="A4343" s="9" t="str">
        <f>"10360114521"</f>
        <v>10360114521</v>
      </c>
      <c r="B4343" s="10">
        <v>38.17</v>
      </c>
      <c r="C4343" s="9"/>
      <c r="D4343" s="9">
        <f t="shared" si="67"/>
        <v>38.17</v>
      </c>
      <c r="E4343" s="11"/>
      <c r="F4343" s="9"/>
    </row>
    <row r="4344" s="1" customFormat="1" customHeight="1" spans="1:6">
      <c r="A4344" s="9" t="str">
        <f>"10360114522"</f>
        <v>10360114522</v>
      </c>
      <c r="B4344" s="10">
        <v>49.18</v>
      </c>
      <c r="C4344" s="9"/>
      <c r="D4344" s="9">
        <f t="shared" si="67"/>
        <v>49.18</v>
      </c>
      <c r="E4344" s="11"/>
      <c r="F4344" s="9"/>
    </row>
    <row r="4345" s="1" customFormat="1" customHeight="1" spans="1:6">
      <c r="A4345" s="9" t="str">
        <f>"10330114523"</f>
        <v>10330114523</v>
      </c>
      <c r="B4345" s="10">
        <v>0</v>
      </c>
      <c r="C4345" s="9"/>
      <c r="D4345" s="9">
        <f t="shared" si="67"/>
        <v>0</v>
      </c>
      <c r="E4345" s="11"/>
      <c r="F4345" s="9" t="s">
        <v>7</v>
      </c>
    </row>
    <row r="4346" s="1" customFormat="1" customHeight="1" spans="1:6">
      <c r="A4346" s="9" t="str">
        <f>"10260114524"</f>
        <v>10260114524</v>
      </c>
      <c r="B4346" s="10">
        <v>45.41</v>
      </c>
      <c r="C4346" s="9"/>
      <c r="D4346" s="9">
        <f t="shared" si="67"/>
        <v>45.41</v>
      </c>
      <c r="E4346" s="11"/>
      <c r="F4346" s="9"/>
    </row>
    <row r="4347" s="1" customFormat="1" customHeight="1" spans="1:6">
      <c r="A4347" s="9" t="str">
        <f>"10060114525"</f>
        <v>10060114525</v>
      </c>
      <c r="B4347" s="10">
        <v>0</v>
      </c>
      <c r="C4347" s="9"/>
      <c r="D4347" s="9">
        <f t="shared" si="67"/>
        <v>0</v>
      </c>
      <c r="E4347" s="11"/>
      <c r="F4347" s="9" t="s">
        <v>7</v>
      </c>
    </row>
    <row r="4348" s="1" customFormat="1" customHeight="1" spans="1:6">
      <c r="A4348" s="9" t="str">
        <f>"10300114526"</f>
        <v>10300114526</v>
      </c>
      <c r="B4348" s="10">
        <v>0</v>
      </c>
      <c r="C4348" s="9"/>
      <c r="D4348" s="9">
        <f t="shared" si="67"/>
        <v>0</v>
      </c>
      <c r="E4348" s="11"/>
      <c r="F4348" s="9" t="s">
        <v>7</v>
      </c>
    </row>
    <row r="4349" s="1" customFormat="1" customHeight="1" spans="1:6">
      <c r="A4349" s="9" t="str">
        <f>"10360114527"</f>
        <v>10360114527</v>
      </c>
      <c r="B4349" s="10">
        <v>39.53</v>
      </c>
      <c r="C4349" s="9"/>
      <c r="D4349" s="9">
        <f t="shared" si="67"/>
        <v>39.53</v>
      </c>
      <c r="E4349" s="11"/>
      <c r="F4349" s="9"/>
    </row>
    <row r="4350" s="1" customFormat="1" customHeight="1" spans="1:6">
      <c r="A4350" s="9" t="str">
        <f>"10060114528"</f>
        <v>10060114528</v>
      </c>
      <c r="B4350" s="10">
        <v>0</v>
      </c>
      <c r="C4350" s="9"/>
      <c r="D4350" s="9">
        <f t="shared" si="67"/>
        <v>0</v>
      </c>
      <c r="E4350" s="11"/>
      <c r="F4350" s="9" t="s">
        <v>7</v>
      </c>
    </row>
    <row r="4351" s="1" customFormat="1" customHeight="1" spans="1:6">
      <c r="A4351" s="9" t="str">
        <f>"10230114529"</f>
        <v>10230114529</v>
      </c>
      <c r="B4351" s="10">
        <v>38.22</v>
      </c>
      <c r="C4351" s="9"/>
      <c r="D4351" s="9">
        <f t="shared" si="67"/>
        <v>38.22</v>
      </c>
      <c r="E4351" s="11"/>
      <c r="F4351" s="9"/>
    </row>
    <row r="4352" s="1" customFormat="1" customHeight="1" spans="1:6">
      <c r="A4352" s="9" t="str">
        <f>"10270114530"</f>
        <v>10270114530</v>
      </c>
      <c r="B4352" s="10">
        <v>0</v>
      </c>
      <c r="C4352" s="9"/>
      <c r="D4352" s="9">
        <f t="shared" si="67"/>
        <v>0</v>
      </c>
      <c r="E4352" s="11"/>
      <c r="F4352" s="9" t="s">
        <v>7</v>
      </c>
    </row>
    <row r="4353" s="1" customFormat="1" customHeight="1" spans="1:6">
      <c r="A4353" s="9" t="str">
        <f>"10240114601"</f>
        <v>10240114601</v>
      </c>
      <c r="B4353" s="10">
        <v>0</v>
      </c>
      <c r="C4353" s="9"/>
      <c r="D4353" s="9">
        <f t="shared" si="67"/>
        <v>0</v>
      </c>
      <c r="E4353" s="11"/>
      <c r="F4353" s="9" t="s">
        <v>7</v>
      </c>
    </row>
    <row r="4354" s="1" customFormat="1" customHeight="1" spans="1:6">
      <c r="A4354" s="9" t="str">
        <f>"10060114602"</f>
        <v>10060114602</v>
      </c>
      <c r="B4354" s="10">
        <v>34.68</v>
      </c>
      <c r="C4354" s="9"/>
      <c r="D4354" s="9">
        <f t="shared" si="67"/>
        <v>34.68</v>
      </c>
      <c r="E4354" s="11"/>
      <c r="F4354" s="9"/>
    </row>
    <row r="4355" s="1" customFormat="1" customHeight="1" spans="1:6">
      <c r="A4355" s="9" t="str">
        <f>"10210114603"</f>
        <v>10210114603</v>
      </c>
      <c r="B4355" s="10">
        <v>41.59</v>
      </c>
      <c r="C4355" s="9"/>
      <c r="D4355" s="9">
        <f t="shared" ref="D4355:D4418" si="68">SUM(B4355:C4355)</f>
        <v>41.59</v>
      </c>
      <c r="E4355" s="11"/>
      <c r="F4355" s="9"/>
    </row>
    <row r="4356" s="1" customFormat="1" customHeight="1" spans="1:6">
      <c r="A4356" s="9" t="str">
        <f>"10120114604"</f>
        <v>10120114604</v>
      </c>
      <c r="B4356" s="10">
        <v>0</v>
      </c>
      <c r="C4356" s="9"/>
      <c r="D4356" s="9">
        <f t="shared" si="68"/>
        <v>0</v>
      </c>
      <c r="E4356" s="11"/>
      <c r="F4356" s="9" t="s">
        <v>7</v>
      </c>
    </row>
    <row r="4357" s="1" customFormat="1" customHeight="1" spans="1:6">
      <c r="A4357" s="9" t="str">
        <f>"10520114605"</f>
        <v>10520114605</v>
      </c>
      <c r="B4357" s="10">
        <v>0</v>
      </c>
      <c r="C4357" s="9"/>
      <c r="D4357" s="9">
        <f t="shared" si="68"/>
        <v>0</v>
      </c>
      <c r="E4357" s="11"/>
      <c r="F4357" s="9" t="s">
        <v>7</v>
      </c>
    </row>
    <row r="4358" s="1" customFormat="1" customHeight="1" spans="1:6">
      <c r="A4358" s="9" t="str">
        <f>"10360114606"</f>
        <v>10360114606</v>
      </c>
      <c r="B4358" s="10">
        <v>38.85</v>
      </c>
      <c r="C4358" s="9"/>
      <c r="D4358" s="9">
        <f t="shared" si="68"/>
        <v>38.85</v>
      </c>
      <c r="E4358" s="11"/>
      <c r="F4358" s="9"/>
    </row>
    <row r="4359" s="1" customFormat="1" customHeight="1" spans="1:6">
      <c r="A4359" s="9" t="str">
        <f>"10320114607"</f>
        <v>10320114607</v>
      </c>
      <c r="B4359" s="10">
        <v>0</v>
      </c>
      <c r="C4359" s="9"/>
      <c r="D4359" s="9">
        <f t="shared" si="68"/>
        <v>0</v>
      </c>
      <c r="E4359" s="11"/>
      <c r="F4359" s="9" t="s">
        <v>7</v>
      </c>
    </row>
    <row r="4360" s="1" customFormat="1" customHeight="1" spans="1:6">
      <c r="A4360" s="9" t="str">
        <f>"10280114608"</f>
        <v>10280114608</v>
      </c>
      <c r="B4360" s="10">
        <v>0</v>
      </c>
      <c r="C4360" s="9"/>
      <c r="D4360" s="9">
        <f t="shared" si="68"/>
        <v>0</v>
      </c>
      <c r="E4360" s="11"/>
      <c r="F4360" s="9" t="s">
        <v>7</v>
      </c>
    </row>
    <row r="4361" s="1" customFormat="1" customHeight="1" spans="1:6">
      <c r="A4361" s="9" t="str">
        <f>"10510114609"</f>
        <v>10510114609</v>
      </c>
      <c r="B4361" s="10">
        <v>0</v>
      </c>
      <c r="C4361" s="9"/>
      <c r="D4361" s="9">
        <f t="shared" si="68"/>
        <v>0</v>
      </c>
      <c r="E4361" s="11"/>
      <c r="F4361" s="9" t="s">
        <v>7</v>
      </c>
    </row>
    <row r="4362" s="1" customFormat="1" customHeight="1" spans="1:6">
      <c r="A4362" s="9" t="str">
        <f>"10360114610"</f>
        <v>10360114610</v>
      </c>
      <c r="B4362" s="10">
        <v>43.2</v>
      </c>
      <c r="C4362" s="9"/>
      <c r="D4362" s="9">
        <f t="shared" si="68"/>
        <v>43.2</v>
      </c>
      <c r="E4362" s="11"/>
      <c r="F4362" s="9"/>
    </row>
    <row r="4363" s="1" customFormat="1" customHeight="1" spans="1:6">
      <c r="A4363" s="9" t="str">
        <f>"10530114611"</f>
        <v>10530114611</v>
      </c>
      <c r="B4363" s="10">
        <v>33.6</v>
      </c>
      <c r="C4363" s="9"/>
      <c r="D4363" s="9">
        <f t="shared" si="68"/>
        <v>33.6</v>
      </c>
      <c r="E4363" s="11"/>
      <c r="F4363" s="9"/>
    </row>
    <row r="4364" s="1" customFormat="1" customHeight="1" spans="1:6">
      <c r="A4364" s="9" t="str">
        <f>"10360114612"</f>
        <v>10360114612</v>
      </c>
      <c r="B4364" s="10">
        <v>37.44</v>
      </c>
      <c r="C4364" s="9"/>
      <c r="D4364" s="9">
        <f t="shared" si="68"/>
        <v>37.44</v>
      </c>
      <c r="E4364" s="11"/>
      <c r="F4364" s="9"/>
    </row>
    <row r="4365" s="1" customFormat="1" customHeight="1" spans="1:6">
      <c r="A4365" s="9" t="str">
        <f>"10480114613"</f>
        <v>10480114613</v>
      </c>
      <c r="B4365" s="10">
        <v>0</v>
      </c>
      <c r="C4365" s="9"/>
      <c r="D4365" s="9">
        <f t="shared" si="68"/>
        <v>0</v>
      </c>
      <c r="E4365" s="11"/>
      <c r="F4365" s="9" t="s">
        <v>7</v>
      </c>
    </row>
    <row r="4366" s="1" customFormat="1" customHeight="1" spans="1:6">
      <c r="A4366" s="9" t="str">
        <f>"10360114614"</f>
        <v>10360114614</v>
      </c>
      <c r="B4366" s="10">
        <v>33.8</v>
      </c>
      <c r="C4366" s="9"/>
      <c r="D4366" s="9">
        <f t="shared" si="68"/>
        <v>33.8</v>
      </c>
      <c r="E4366" s="11"/>
      <c r="F4366" s="9"/>
    </row>
    <row r="4367" s="1" customFormat="1" customHeight="1" spans="1:6">
      <c r="A4367" s="9" t="str">
        <f>"10530114615"</f>
        <v>10530114615</v>
      </c>
      <c r="B4367" s="10">
        <v>0</v>
      </c>
      <c r="C4367" s="9"/>
      <c r="D4367" s="9">
        <f t="shared" si="68"/>
        <v>0</v>
      </c>
      <c r="E4367" s="11"/>
      <c r="F4367" s="9" t="s">
        <v>7</v>
      </c>
    </row>
    <row r="4368" s="1" customFormat="1" customHeight="1" spans="1:6">
      <c r="A4368" s="9" t="str">
        <f>"10010114616"</f>
        <v>10010114616</v>
      </c>
      <c r="B4368" s="10">
        <v>0</v>
      </c>
      <c r="C4368" s="9"/>
      <c r="D4368" s="9">
        <f t="shared" si="68"/>
        <v>0</v>
      </c>
      <c r="E4368" s="11"/>
      <c r="F4368" s="9" t="s">
        <v>7</v>
      </c>
    </row>
    <row r="4369" s="1" customFormat="1" customHeight="1" spans="1:6">
      <c r="A4369" s="9" t="str">
        <f>"10280114617"</f>
        <v>10280114617</v>
      </c>
      <c r="B4369" s="10">
        <v>36.29</v>
      </c>
      <c r="C4369" s="9"/>
      <c r="D4369" s="9">
        <f t="shared" si="68"/>
        <v>36.29</v>
      </c>
      <c r="E4369" s="11"/>
      <c r="F4369" s="9"/>
    </row>
    <row r="4370" s="1" customFormat="1" customHeight="1" spans="1:6">
      <c r="A4370" s="9" t="str">
        <f>"10360114618"</f>
        <v>10360114618</v>
      </c>
      <c r="B4370" s="10">
        <v>38.96</v>
      </c>
      <c r="C4370" s="9"/>
      <c r="D4370" s="9">
        <f t="shared" si="68"/>
        <v>38.96</v>
      </c>
      <c r="E4370" s="11"/>
      <c r="F4370" s="9"/>
    </row>
    <row r="4371" s="1" customFormat="1" customHeight="1" spans="1:6">
      <c r="A4371" s="9" t="str">
        <f>"10020114619"</f>
        <v>10020114619</v>
      </c>
      <c r="B4371" s="10">
        <v>41.6</v>
      </c>
      <c r="C4371" s="9"/>
      <c r="D4371" s="9">
        <f t="shared" si="68"/>
        <v>41.6</v>
      </c>
      <c r="E4371" s="11"/>
      <c r="F4371" s="9"/>
    </row>
    <row r="4372" s="1" customFormat="1" customHeight="1" spans="1:6">
      <c r="A4372" s="9" t="str">
        <f>"10330114620"</f>
        <v>10330114620</v>
      </c>
      <c r="B4372" s="10">
        <v>0</v>
      </c>
      <c r="C4372" s="9"/>
      <c r="D4372" s="9">
        <f t="shared" si="68"/>
        <v>0</v>
      </c>
      <c r="E4372" s="11"/>
      <c r="F4372" s="9" t="s">
        <v>7</v>
      </c>
    </row>
    <row r="4373" s="1" customFormat="1" customHeight="1" spans="1:6">
      <c r="A4373" s="9" t="str">
        <f>"10290114621"</f>
        <v>10290114621</v>
      </c>
      <c r="B4373" s="10">
        <v>52.29</v>
      </c>
      <c r="C4373" s="9"/>
      <c r="D4373" s="9">
        <f t="shared" si="68"/>
        <v>52.29</v>
      </c>
      <c r="E4373" s="11"/>
      <c r="F4373" s="9"/>
    </row>
    <row r="4374" s="1" customFormat="1" customHeight="1" spans="1:6">
      <c r="A4374" s="9" t="str">
        <f>"10390114622"</f>
        <v>10390114622</v>
      </c>
      <c r="B4374" s="10">
        <v>43.65</v>
      </c>
      <c r="C4374" s="9"/>
      <c r="D4374" s="9">
        <f t="shared" si="68"/>
        <v>43.65</v>
      </c>
      <c r="E4374" s="11"/>
      <c r="F4374" s="9"/>
    </row>
    <row r="4375" s="1" customFormat="1" customHeight="1" spans="1:6">
      <c r="A4375" s="9" t="str">
        <f>"10230114623"</f>
        <v>10230114623</v>
      </c>
      <c r="B4375" s="10">
        <v>0</v>
      </c>
      <c r="C4375" s="9"/>
      <c r="D4375" s="9">
        <f t="shared" si="68"/>
        <v>0</v>
      </c>
      <c r="E4375" s="11"/>
      <c r="F4375" s="9" t="s">
        <v>7</v>
      </c>
    </row>
    <row r="4376" s="1" customFormat="1" customHeight="1" spans="1:6">
      <c r="A4376" s="9" t="str">
        <f>"10210114624"</f>
        <v>10210114624</v>
      </c>
      <c r="B4376" s="10">
        <v>44.76</v>
      </c>
      <c r="C4376" s="9"/>
      <c r="D4376" s="9">
        <f t="shared" si="68"/>
        <v>44.76</v>
      </c>
      <c r="E4376" s="11"/>
      <c r="F4376" s="9"/>
    </row>
    <row r="4377" s="1" customFormat="1" customHeight="1" spans="1:6">
      <c r="A4377" s="9" t="str">
        <f>"10210114625"</f>
        <v>10210114625</v>
      </c>
      <c r="B4377" s="10">
        <v>45.13</v>
      </c>
      <c r="C4377" s="9"/>
      <c r="D4377" s="9">
        <f t="shared" si="68"/>
        <v>45.13</v>
      </c>
      <c r="E4377" s="11"/>
      <c r="F4377" s="9"/>
    </row>
    <row r="4378" s="1" customFormat="1" customHeight="1" spans="1:6">
      <c r="A4378" s="9" t="str">
        <f>"10360114626"</f>
        <v>10360114626</v>
      </c>
      <c r="B4378" s="10">
        <v>44.93</v>
      </c>
      <c r="C4378" s="9"/>
      <c r="D4378" s="9">
        <f t="shared" si="68"/>
        <v>44.93</v>
      </c>
      <c r="E4378" s="11"/>
      <c r="F4378" s="9"/>
    </row>
    <row r="4379" s="1" customFormat="1" customHeight="1" spans="1:6">
      <c r="A4379" s="9" t="str">
        <f>"10500114627"</f>
        <v>10500114627</v>
      </c>
      <c r="B4379" s="10">
        <v>42.01</v>
      </c>
      <c r="C4379" s="9"/>
      <c r="D4379" s="9">
        <f t="shared" si="68"/>
        <v>42.01</v>
      </c>
      <c r="E4379" s="11"/>
      <c r="F4379" s="9"/>
    </row>
    <row r="4380" s="1" customFormat="1" customHeight="1" spans="1:6">
      <c r="A4380" s="9" t="str">
        <f>"10100114628"</f>
        <v>10100114628</v>
      </c>
      <c r="B4380" s="10">
        <v>42.63</v>
      </c>
      <c r="C4380" s="9"/>
      <c r="D4380" s="9">
        <f t="shared" si="68"/>
        <v>42.63</v>
      </c>
      <c r="E4380" s="11"/>
      <c r="F4380" s="9"/>
    </row>
    <row r="4381" s="1" customFormat="1" customHeight="1" spans="1:6">
      <c r="A4381" s="9" t="str">
        <f>"10360114629"</f>
        <v>10360114629</v>
      </c>
      <c r="B4381" s="10">
        <v>33.02</v>
      </c>
      <c r="C4381" s="9"/>
      <c r="D4381" s="9">
        <f t="shared" si="68"/>
        <v>33.02</v>
      </c>
      <c r="E4381" s="11"/>
      <c r="F4381" s="9"/>
    </row>
    <row r="4382" s="1" customFormat="1" customHeight="1" spans="1:6">
      <c r="A4382" s="9" t="str">
        <f>"10380114630"</f>
        <v>10380114630</v>
      </c>
      <c r="B4382" s="10">
        <v>36.44</v>
      </c>
      <c r="C4382" s="9"/>
      <c r="D4382" s="9">
        <f t="shared" si="68"/>
        <v>36.44</v>
      </c>
      <c r="E4382" s="11"/>
      <c r="F4382" s="9"/>
    </row>
    <row r="4383" s="1" customFormat="1" customHeight="1" spans="1:6">
      <c r="A4383" s="9" t="str">
        <f>"10360114701"</f>
        <v>10360114701</v>
      </c>
      <c r="B4383" s="10">
        <v>37.16</v>
      </c>
      <c r="C4383" s="9"/>
      <c r="D4383" s="9">
        <f t="shared" si="68"/>
        <v>37.16</v>
      </c>
      <c r="E4383" s="11"/>
      <c r="F4383" s="9"/>
    </row>
    <row r="4384" s="1" customFormat="1" customHeight="1" spans="1:6">
      <c r="A4384" s="9" t="str">
        <f>"10260114702"</f>
        <v>10260114702</v>
      </c>
      <c r="B4384" s="10">
        <v>0</v>
      </c>
      <c r="C4384" s="9"/>
      <c r="D4384" s="9">
        <f t="shared" si="68"/>
        <v>0</v>
      </c>
      <c r="E4384" s="11"/>
      <c r="F4384" s="9" t="s">
        <v>7</v>
      </c>
    </row>
    <row r="4385" s="1" customFormat="1" customHeight="1" spans="1:6">
      <c r="A4385" s="9" t="str">
        <f>"10240114703"</f>
        <v>10240114703</v>
      </c>
      <c r="B4385" s="10">
        <v>35.05</v>
      </c>
      <c r="C4385" s="9"/>
      <c r="D4385" s="9">
        <f t="shared" si="68"/>
        <v>35.05</v>
      </c>
      <c r="E4385" s="11"/>
      <c r="F4385" s="9"/>
    </row>
    <row r="4386" s="1" customFormat="1" customHeight="1" spans="1:6">
      <c r="A4386" s="9" t="str">
        <f>"10090114704"</f>
        <v>10090114704</v>
      </c>
      <c r="B4386" s="10">
        <v>37.68</v>
      </c>
      <c r="C4386" s="9"/>
      <c r="D4386" s="9">
        <f t="shared" si="68"/>
        <v>37.68</v>
      </c>
      <c r="E4386" s="11"/>
      <c r="F4386" s="9"/>
    </row>
    <row r="4387" s="1" customFormat="1" customHeight="1" spans="1:6">
      <c r="A4387" s="9" t="str">
        <f>"10170114705"</f>
        <v>10170114705</v>
      </c>
      <c r="B4387" s="10">
        <v>40.87</v>
      </c>
      <c r="C4387" s="9"/>
      <c r="D4387" s="9">
        <f t="shared" si="68"/>
        <v>40.87</v>
      </c>
      <c r="E4387" s="11"/>
      <c r="F4387" s="9"/>
    </row>
    <row r="4388" s="1" customFormat="1" customHeight="1" spans="1:6">
      <c r="A4388" s="9" t="str">
        <f>"10330114706"</f>
        <v>10330114706</v>
      </c>
      <c r="B4388" s="10">
        <v>0</v>
      </c>
      <c r="C4388" s="9"/>
      <c r="D4388" s="9">
        <f t="shared" si="68"/>
        <v>0</v>
      </c>
      <c r="E4388" s="11"/>
      <c r="F4388" s="9" t="s">
        <v>7</v>
      </c>
    </row>
    <row r="4389" s="1" customFormat="1" customHeight="1" spans="1:6">
      <c r="A4389" s="9" t="str">
        <f>"10460114707"</f>
        <v>10460114707</v>
      </c>
      <c r="B4389" s="10">
        <v>0</v>
      </c>
      <c r="C4389" s="9"/>
      <c r="D4389" s="9">
        <f t="shared" si="68"/>
        <v>0</v>
      </c>
      <c r="E4389" s="11"/>
      <c r="F4389" s="9" t="s">
        <v>7</v>
      </c>
    </row>
    <row r="4390" s="1" customFormat="1" customHeight="1" spans="1:6">
      <c r="A4390" s="9" t="str">
        <f>"10360114708"</f>
        <v>10360114708</v>
      </c>
      <c r="B4390" s="10">
        <v>0</v>
      </c>
      <c r="C4390" s="9"/>
      <c r="D4390" s="9">
        <f t="shared" si="68"/>
        <v>0</v>
      </c>
      <c r="E4390" s="11"/>
      <c r="F4390" s="9" t="s">
        <v>7</v>
      </c>
    </row>
    <row r="4391" s="1" customFormat="1" customHeight="1" spans="1:6">
      <c r="A4391" s="9" t="str">
        <f>"10140114709"</f>
        <v>10140114709</v>
      </c>
      <c r="B4391" s="10">
        <v>36.41</v>
      </c>
      <c r="C4391" s="9"/>
      <c r="D4391" s="9">
        <f t="shared" si="68"/>
        <v>36.41</v>
      </c>
      <c r="E4391" s="11"/>
      <c r="F4391" s="9"/>
    </row>
    <row r="4392" s="1" customFormat="1" customHeight="1" spans="1:6">
      <c r="A4392" s="9" t="str">
        <f>"10360114710"</f>
        <v>10360114710</v>
      </c>
      <c r="B4392" s="10">
        <v>0</v>
      </c>
      <c r="C4392" s="9"/>
      <c r="D4392" s="9">
        <f t="shared" si="68"/>
        <v>0</v>
      </c>
      <c r="E4392" s="11"/>
      <c r="F4392" s="9" t="s">
        <v>7</v>
      </c>
    </row>
    <row r="4393" s="1" customFormat="1" customHeight="1" spans="1:6">
      <c r="A4393" s="9" t="str">
        <f>"10330114711"</f>
        <v>10330114711</v>
      </c>
      <c r="B4393" s="10">
        <v>0</v>
      </c>
      <c r="C4393" s="9"/>
      <c r="D4393" s="9">
        <f t="shared" si="68"/>
        <v>0</v>
      </c>
      <c r="E4393" s="11"/>
      <c r="F4393" s="9" t="s">
        <v>7</v>
      </c>
    </row>
    <row r="4394" s="1" customFormat="1" customHeight="1" spans="1:6">
      <c r="A4394" s="9" t="str">
        <f>"10140114712"</f>
        <v>10140114712</v>
      </c>
      <c r="B4394" s="10">
        <v>37.7</v>
      </c>
      <c r="C4394" s="9"/>
      <c r="D4394" s="9">
        <f t="shared" si="68"/>
        <v>37.7</v>
      </c>
      <c r="E4394" s="11"/>
      <c r="F4394" s="9"/>
    </row>
    <row r="4395" s="1" customFormat="1" customHeight="1" spans="1:6">
      <c r="A4395" s="9" t="str">
        <f>"10420114713"</f>
        <v>10420114713</v>
      </c>
      <c r="B4395" s="10">
        <v>39.96</v>
      </c>
      <c r="C4395" s="9"/>
      <c r="D4395" s="9">
        <f t="shared" si="68"/>
        <v>39.96</v>
      </c>
      <c r="E4395" s="11"/>
      <c r="F4395" s="9"/>
    </row>
    <row r="4396" s="1" customFormat="1" customHeight="1" spans="1:6">
      <c r="A4396" s="9" t="str">
        <f>"10090114714"</f>
        <v>10090114714</v>
      </c>
      <c r="B4396" s="10">
        <v>42.24</v>
      </c>
      <c r="C4396" s="9"/>
      <c r="D4396" s="9">
        <f t="shared" si="68"/>
        <v>42.24</v>
      </c>
      <c r="E4396" s="11"/>
      <c r="F4396" s="9"/>
    </row>
    <row r="4397" s="1" customFormat="1" customHeight="1" spans="1:6">
      <c r="A4397" s="9" t="str">
        <f>"10050114715"</f>
        <v>10050114715</v>
      </c>
      <c r="B4397" s="10">
        <v>50.21</v>
      </c>
      <c r="C4397" s="9"/>
      <c r="D4397" s="9">
        <f t="shared" si="68"/>
        <v>50.21</v>
      </c>
      <c r="E4397" s="11"/>
      <c r="F4397" s="9"/>
    </row>
    <row r="4398" s="1" customFormat="1" customHeight="1" spans="1:6">
      <c r="A4398" s="9" t="str">
        <f>"10140114716"</f>
        <v>10140114716</v>
      </c>
      <c r="B4398" s="10">
        <v>45.84</v>
      </c>
      <c r="C4398" s="9"/>
      <c r="D4398" s="9">
        <f t="shared" si="68"/>
        <v>45.84</v>
      </c>
      <c r="E4398" s="11"/>
      <c r="F4398" s="9"/>
    </row>
    <row r="4399" s="1" customFormat="1" customHeight="1" spans="1:6">
      <c r="A4399" s="9" t="str">
        <f>"10360114717"</f>
        <v>10360114717</v>
      </c>
      <c r="B4399" s="10">
        <v>36.04</v>
      </c>
      <c r="C4399" s="9">
        <v>10</v>
      </c>
      <c r="D4399" s="9">
        <f t="shared" si="68"/>
        <v>46.04</v>
      </c>
      <c r="E4399" s="12" t="s">
        <v>8</v>
      </c>
      <c r="F4399" s="9"/>
    </row>
    <row r="4400" s="1" customFormat="1" customHeight="1" spans="1:6">
      <c r="A4400" s="9" t="str">
        <f>"10360114718"</f>
        <v>10360114718</v>
      </c>
      <c r="B4400" s="10">
        <v>0</v>
      </c>
      <c r="C4400" s="9"/>
      <c r="D4400" s="9">
        <f t="shared" si="68"/>
        <v>0</v>
      </c>
      <c r="E4400" s="11"/>
      <c r="F4400" s="9" t="s">
        <v>7</v>
      </c>
    </row>
    <row r="4401" s="1" customFormat="1" customHeight="1" spans="1:6">
      <c r="A4401" s="9" t="str">
        <f>"10360114719"</f>
        <v>10360114719</v>
      </c>
      <c r="B4401" s="10">
        <v>38.4</v>
      </c>
      <c r="C4401" s="9"/>
      <c r="D4401" s="9">
        <f t="shared" si="68"/>
        <v>38.4</v>
      </c>
      <c r="E4401" s="11"/>
      <c r="F4401" s="9"/>
    </row>
    <row r="4402" s="1" customFormat="1" customHeight="1" spans="1:6">
      <c r="A4402" s="9" t="str">
        <f>"10530114720"</f>
        <v>10530114720</v>
      </c>
      <c r="B4402" s="10">
        <v>0</v>
      </c>
      <c r="C4402" s="9"/>
      <c r="D4402" s="9">
        <f t="shared" si="68"/>
        <v>0</v>
      </c>
      <c r="E4402" s="11"/>
      <c r="F4402" s="9" t="s">
        <v>7</v>
      </c>
    </row>
    <row r="4403" s="1" customFormat="1" customHeight="1" spans="1:6">
      <c r="A4403" s="9" t="str">
        <f>"10290114721"</f>
        <v>10290114721</v>
      </c>
      <c r="B4403" s="10">
        <v>0</v>
      </c>
      <c r="C4403" s="9"/>
      <c r="D4403" s="9">
        <f t="shared" si="68"/>
        <v>0</v>
      </c>
      <c r="E4403" s="11"/>
      <c r="F4403" s="9" t="s">
        <v>7</v>
      </c>
    </row>
    <row r="4404" s="1" customFormat="1" customHeight="1" spans="1:6">
      <c r="A4404" s="9" t="str">
        <f>"10360114722"</f>
        <v>10360114722</v>
      </c>
      <c r="B4404" s="10">
        <v>37.79</v>
      </c>
      <c r="C4404" s="9"/>
      <c r="D4404" s="9">
        <f t="shared" si="68"/>
        <v>37.79</v>
      </c>
      <c r="E4404" s="11"/>
      <c r="F4404" s="9"/>
    </row>
    <row r="4405" s="1" customFormat="1" customHeight="1" spans="1:6">
      <c r="A4405" s="9" t="str">
        <f>"10110114723"</f>
        <v>10110114723</v>
      </c>
      <c r="B4405" s="10">
        <v>41.57</v>
      </c>
      <c r="C4405" s="9"/>
      <c r="D4405" s="9">
        <f t="shared" si="68"/>
        <v>41.57</v>
      </c>
      <c r="E4405" s="11"/>
      <c r="F4405" s="9"/>
    </row>
    <row r="4406" s="1" customFormat="1" customHeight="1" spans="1:6">
      <c r="A4406" s="9" t="str">
        <f>"10530114724"</f>
        <v>10530114724</v>
      </c>
      <c r="B4406" s="10">
        <v>34.9</v>
      </c>
      <c r="C4406" s="9"/>
      <c r="D4406" s="9">
        <f t="shared" si="68"/>
        <v>34.9</v>
      </c>
      <c r="E4406" s="11"/>
      <c r="F4406" s="9"/>
    </row>
    <row r="4407" s="1" customFormat="1" customHeight="1" spans="1:6">
      <c r="A4407" s="9" t="str">
        <f>"10360114725"</f>
        <v>10360114725</v>
      </c>
      <c r="B4407" s="10">
        <v>42.15</v>
      </c>
      <c r="C4407" s="9"/>
      <c r="D4407" s="9">
        <f t="shared" si="68"/>
        <v>42.15</v>
      </c>
      <c r="E4407" s="11"/>
      <c r="F4407" s="9"/>
    </row>
    <row r="4408" s="1" customFormat="1" customHeight="1" spans="1:6">
      <c r="A4408" s="9" t="str">
        <f>"10530114726"</f>
        <v>10530114726</v>
      </c>
      <c r="B4408" s="10">
        <v>37.13</v>
      </c>
      <c r="C4408" s="9"/>
      <c r="D4408" s="9">
        <f t="shared" si="68"/>
        <v>37.13</v>
      </c>
      <c r="E4408" s="11"/>
      <c r="F4408" s="9"/>
    </row>
    <row r="4409" s="1" customFormat="1" customHeight="1" spans="1:6">
      <c r="A4409" s="9" t="str">
        <f>"10360114727"</f>
        <v>10360114727</v>
      </c>
      <c r="B4409" s="10">
        <v>48.46</v>
      </c>
      <c r="C4409" s="9"/>
      <c r="D4409" s="9">
        <f t="shared" si="68"/>
        <v>48.46</v>
      </c>
      <c r="E4409" s="11"/>
      <c r="F4409" s="9"/>
    </row>
    <row r="4410" s="1" customFormat="1" customHeight="1" spans="1:6">
      <c r="A4410" s="9" t="str">
        <f>"10510114728"</f>
        <v>10510114728</v>
      </c>
      <c r="B4410" s="10">
        <v>36.09</v>
      </c>
      <c r="C4410" s="9">
        <v>10</v>
      </c>
      <c r="D4410" s="9">
        <f t="shared" si="68"/>
        <v>46.09</v>
      </c>
      <c r="E4410" s="12" t="s">
        <v>8</v>
      </c>
      <c r="F4410" s="9"/>
    </row>
    <row r="4411" s="1" customFormat="1" customHeight="1" spans="1:6">
      <c r="A4411" s="9" t="str">
        <f>"10130114729"</f>
        <v>10130114729</v>
      </c>
      <c r="B4411" s="10">
        <v>0</v>
      </c>
      <c r="C4411" s="9"/>
      <c r="D4411" s="9">
        <f t="shared" si="68"/>
        <v>0</v>
      </c>
      <c r="E4411" s="11"/>
      <c r="F4411" s="9" t="s">
        <v>7</v>
      </c>
    </row>
    <row r="4412" s="1" customFormat="1" customHeight="1" spans="1:6">
      <c r="A4412" s="9" t="str">
        <f>"10330114730"</f>
        <v>10330114730</v>
      </c>
      <c r="B4412" s="10">
        <v>35.54</v>
      </c>
      <c r="C4412" s="9"/>
      <c r="D4412" s="9">
        <f t="shared" si="68"/>
        <v>35.54</v>
      </c>
      <c r="E4412" s="11"/>
      <c r="F4412" s="9"/>
    </row>
    <row r="4413" s="1" customFormat="1" customHeight="1" spans="1:6">
      <c r="A4413" s="9" t="str">
        <f>"10330114801"</f>
        <v>10330114801</v>
      </c>
      <c r="B4413" s="10">
        <v>41.47</v>
      </c>
      <c r="C4413" s="9"/>
      <c r="D4413" s="9">
        <f t="shared" si="68"/>
        <v>41.47</v>
      </c>
      <c r="E4413" s="11"/>
      <c r="F4413" s="9"/>
    </row>
    <row r="4414" s="1" customFormat="1" customHeight="1" spans="1:6">
      <c r="A4414" s="9" t="str">
        <f>"10100114802"</f>
        <v>10100114802</v>
      </c>
      <c r="B4414" s="10">
        <v>0</v>
      </c>
      <c r="C4414" s="9"/>
      <c r="D4414" s="9">
        <f t="shared" si="68"/>
        <v>0</v>
      </c>
      <c r="E4414" s="11"/>
      <c r="F4414" s="9" t="s">
        <v>7</v>
      </c>
    </row>
    <row r="4415" s="1" customFormat="1" customHeight="1" spans="1:6">
      <c r="A4415" s="9" t="str">
        <f>"10190114803"</f>
        <v>10190114803</v>
      </c>
      <c r="B4415" s="10">
        <v>38.02</v>
      </c>
      <c r="C4415" s="9"/>
      <c r="D4415" s="9">
        <f t="shared" si="68"/>
        <v>38.02</v>
      </c>
      <c r="E4415" s="11"/>
      <c r="F4415" s="9"/>
    </row>
    <row r="4416" s="1" customFormat="1" customHeight="1" spans="1:6">
      <c r="A4416" s="9" t="str">
        <f>"10360114804"</f>
        <v>10360114804</v>
      </c>
      <c r="B4416" s="10">
        <v>46.74</v>
      </c>
      <c r="C4416" s="9"/>
      <c r="D4416" s="9">
        <f t="shared" si="68"/>
        <v>46.74</v>
      </c>
      <c r="E4416" s="11"/>
      <c r="F4416" s="9"/>
    </row>
    <row r="4417" s="1" customFormat="1" customHeight="1" spans="1:6">
      <c r="A4417" s="9" t="str">
        <f>"10010114805"</f>
        <v>10010114805</v>
      </c>
      <c r="B4417" s="10">
        <v>38.22</v>
      </c>
      <c r="C4417" s="9"/>
      <c r="D4417" s="9">
        <f t="shared" si="68"/>
        <v>38.22</v>
      </c>
      <c r="E4417" s="11"/>
      <c r="F4417" s="9"/>
    </row>
    <row r="4418" s="1" customFormat="1" customHeight="1" spans="1:6">
      <c r="A4418" s="9" t="str">
        <f>"10230114806"</f>
        <v>10230114806</v>
      </c>
      <c r="B4418" s="10">
        <v>49.43</v>
      </c>
      <c r="C4418" s="9"/>
      <c r="D4418" s="9">
        <f t="shared" si="68"/>
        <v>49.43</v>
      </c>
      <c r="E4418" s="11"/>
      <c r="F4418" s="9"/>
    </row>
    <row r="4419" s="1" customFormat="1" customHeight="1" spans="1:6">
      <c r="A4419" s="9" t="str">
        <f>"10270114807"</f>
        <v>10270114807</v>
      </c>
      <c r="B4419" s="10">
        <v>32.41</v>
      </c>
      <c r="C4419" s="9"/>
      <c r="D4419" s="9">
        <f t="shared" ref="D4419:D4482" si="69">SUM(B4419:C4419)</f>
        <v>32.41</v>
      </c>
      <c r="E4419" s="11"/>
      <c r="F4419" s="9"/>
    </row>
    <row r="4420" s="1" customFormat="1" customHeight="1" spans="1:6">
      <c r="A4420" s="9" t="str">
        <f>"10530114808"</f>
        <v>10530114808</v>
      </c>
      <c r="B4420" s="10">
        <v>33.97</v>
      </c>
      <c r="C4420" s="9"/>
      <c r="D4420" s="9">
        <f t="shared" si="69"/>
        <v>33.97</v>
      </c>
      <c r="E4420" s="11"/>
      <c r="F4420" s="9"/>
    </row>
    <row r="4421" s="1" customFormat="1" customHeight="1" spans="1:6">
      <c r="A4421" s="9" t="str">
        <f>"10040114809"</f>
        <v>10040114809</v>
      </c>
      <c r="B4421" s="10">
        <v>0</v>
      </c>
      <c r="C4421" s="9"/>
      <c r="D4421" s="9">
        <f t="shared" si="69"/>
        <v>0</v>
      </c>
      <c r="E4421" s="11"/>
      <c r="F4421" s="9" t="s">
        <v>7</v>
      </c>
    </row>
    <row r="4422" s="1" customFormat="1" customHeight="1" spans="1:6">
      <c r="A4422" s="9" t="str">
        <f>"10230114810"</f>
        <v>10230114810</v>
      </c>
      <c r="B4422" s="10">
        <v>32.64</v>
      </c>
      <c r="C4422" s="9"/>
      <c r="D4422" s="9">
        <f t="shared" si="69"/>
        <v>32.64</v>
      </c>
      <c r="E4422" s="11"/>
      <c r="F4422" s="9"/>
    </row>
    <row r="4423" s="1" customFormat="1" customHeight="1" spans="1:6">
      <c r="A4423" s="9" t="str">
        <f>"10360114811"</f>
        <v>10360114811</v>
      </c>
      <c r="B4423" s="10">
        <v>34.26</v>
      </c>
      <c r="C4423" s="9"/>
      <c r="D4423" s="9">
        <f t="shared" si="69"/>
        <v>34.26</v>
      </c>
      <c r="E4423" s="11"/>
      <c r="F4423" s="9"/>
    </row>
    <row r="4424" s="1" customFormat="1" customHeight="1" spans="1:6">
      <c r="A4424" s="9" t="str">
        <f>"10360114812"</f>
        <v>10360114812</v>
      </c>
      <c r="B4424" s="10">
        <v>28.25</v>
      </c>
      <c r="C4424" s="9"/>
      <c r="D4424" s="9">
        <f t="shared" si="69"/>
        <v>28.25</v>
      </c>
      <c r="E4424" s="11"/>
      <c r="F4424" s="9"/>
    </row>
    <row r="4425" s="1" customFormat="1" customHeight="1" spans="1:6">
      <c r="A4425" s="9" t="str">
        <f>"10060114813"</f>
        <v>10060114813</v>
      </c>
      <c r="B4425" s="10">
        <v>30.79</v>
      </c>
      <c r="C4425" s="9"/>
      <c r="D4425" s="9">
        <f t="shared" si="69"/>
        <v>30.79</v>
      </c>
      <c r="E4425" s="11"/>
      <c r="F4425" s="9"/>
    </row>
    <row r="4426" s="1" customFormat="1" customHeight="1" spans="1:6">
      <c r="A4426" s="9" t="str">
        <f>"10360114814"</f>
        <v>10360114814</v>
      </c>
      <c r="B4426" s="10">
        <v>35.99</v>
      </c>
      <c r="C4426" s="9"/>
      <c r="D4426" s="9">
        <f t="shared" si="69"/>
        <v>35.99</v>
      </c>
      <c r="E4426" s="11"/>
      <c r="F4426" s="9"/>
    </row>
    <row r="4427" s="1" customFormat="1" customHeight="1" spans="1:6">
      <c r="A4427" s="9" t="str">
        <f>"10360114815"</f>
        <v>10360114815</v>
      </c>
      <c r="B4427" s="10">
        <v>43.04</v>
      </c>
      <c r="C4427" s="9"/>
      <c r="D4427" s="9">
        <f t="shared" si="69"/>
        <v>43.04</v>
      </c>
      <c r="E4427" s="11"/>
      <c r="F4427" s="9"/>
    </row>
    <row r="4428" s="1" customFormat="1" customHeight="1" spans="1:6">
      <c r="A4428" s="9" t="str">
        <f>"10060114816"</f>
        <v>10060114816</v>
      </c>
      <c r="B4428" s="10">
        <v>33.38</v>
      </c>
      <c r="C4428" s="9"/>
      <c r="D4428" s="9">
        <f t="shared" si="69"/>
        <v>33.38</v>
      </c>
      <c r="E4428" s="11"/>
      <c r="F4428" s="9"/>
    </row>
    <row r="4429" s="1" customFormat="1" customHeight="1" spans="1:6">
      <c r="A4429" s="9" t="str">
        <f>"10360114817"</f>
        <v>10360114817</v>
      </c>
      <c r="B4429" s="10">
        <v>0</v>
      </c>
      <c r="C4429" s="9"/>
      <c r="D4429" s="9">
        <f t="shared" si="69"/>
        <v>0</v>
      </c>
      <c r="E4429" s="11"/>
      <c r="F4429" s="9" t="s">
        <v>7</v>
      </c>
    </row>
    <row r="4430" s="1" customFormat="1" customHeight="1" spans="1:6">
      <c r="A4430" s="9" t="str">
        <f>"10360114818"</f>
        <v>10360114818</v>
      </c>
      <c r="B4430" s="10">
        <v>35.88</v>
      </c>
      <c r="C4430" s="9"/>
      <c r="D4430" s="9">
        <f t="shared" si="69"/>
        <v>35.88</v>
      </c>
      <c r="E4430" s="11"/>
      <c r="F4430" s="9"/>
    </row>
    <row r="4431" s="1" customFormat="1" customHeight="1" spans="1:6">
      <c r="A4431" s="9" t="str">
        <f>"10080114819"</f>
        <v>10080114819</v>
      </c>
      <c r="B4431" s="10">
        <v>0</v>
      </c>
      <c r="C4431" s="9"/>
      <c r="D4431" s="9">
        <f t="shared" si="69"/>
        <v>0</v>
      </c>
      <c r="E4431" s="11"/>
      <c r="F4431" s="9" t="s">
        <v>7</v>
      </c>
    </row>
    <row r="4432" s="1" customFormat="1" customHeight="1" spans="1:6">
      <c r="A4432" s="9" t="str">
        <f>"10520114820"</f>
        <v>10520114820</v>
      </c>
      <c r="B4432" s="10">
        <v>40.61</v>
      </c>
      <c r="C4432" s="9"/>
      <c r="D4432" s="9">
        <f t="shared" si="69"/>
        <v>40.61</v>
      </c>
      <c r="E4432" s="11"/>
      <c r="F4432" s="9"/>
    </row>
    <row r="4433" s="1" customFormat="1" customHeight="1" spans="1:6">
      <c r="A4433" s="9" t="str">
        <f>"10500114821"</f>
        <v>10500114821</v>
      </c>
      <c r="B4433" s="10">
        <v>0</v>
      </c>
      <c r="C4433" s="9"/>
      <c r="D4433" s="9">
        <f t="shared" si="69"/>
        <v>0</v>
      </c>
      <c r="E4433" s="11"/>
      <c r="F4433" s="9" t="s">
        <v>7</v>
      </c>
    </row>
    <row r="4434" s="1" customFormat="1" customHeight="1" spans="1:6">
      <c r="A4434" s="9" t="str">
        <f>"10230114822"</f>
        <v>10230114822</v>
      </c>
      <c r="B4434" s="10">
        <v>0</v>
      </c>
      <c r="C4434" s="9"/>
      <c r="D4434" s="9">
        <f t="shared" si="69"/>
        <v>0</v>
      </c>
      <c r="E4434" s="11"/>
      <c r="F4434" s="9" t="s">
        <v>7</v>
      </c>
    </row>
    <row r="4435" s="1" customFormat="1" customHeight="1" spans="1:6">
      <c r="A4435" s="9" t="str">
        <f>"10230114823"</f>
        <v>10230114823</v>
      </c>
      <c r="B4435" s="10">
        <v>0</v>
      </c>
      <c r="C4435" s="9"/>
      <c r="D4435" s="9">
        <f t="shared" si="69"/>
        <v>0</v>
      </c>
      <c r="E4435" s="11"/>
      <c r="F4435" s="9" t="s">
        <v>7</v>
      </c>
    </row>
    <row r="4436" s="1" customFormat="1" customHeight="1" spans="1:6">
      <c r="A4436" s="9" t="str">
        <f>"10520114824"</f>
        <v>10520114824</v>
      </c>
      <c r="B4436" s="10">
        <v>38.88</v>
      </c>
      <c r="C4436" s="9"/>
      <c r="D4436" s="9">
        <f t="shared" si="69"/>
        <v>38.88</v>
      </c>
      <c r="E4436" s="11"/>
      <c r="F4436" s="9"/>
    </row>
    <row r="4437" s="1" customFormat="1" customHeight="1" spans="1:6">
      <c r="A4437" s="9" t="str">
        <f>"10510114825"</f>
        <v>10510114825</v>
      </c>
      <c r="B4437" s="10">
        <v>0</v>
      </c>
      <c r="C4437" s="9"/>
      <c r="D4437" s="9">
        <f t="shared" si="69"/>
        <v>0</v>
      </c>
      <c r="E4437" s="11"/>
      <c r="F4437" s="9" t="s">
        <v>7</v>
      </c>
    </row>
    <row r="4438" s="1" customFormat="1" customHeight="1" spans="1:6">
      <c r="A4438" s="9" t="str">
        <f>"10010114826"</f>
        <v>10010114826</v>
      </c>
      <c r="B4438" s="10">
        <v>47.47</v>
      </c>
      <c r="C4438" s="9"/>
      <c r="D4438" s="9">
        <f t="shared" si="69"/>
        <v>47.47</v>
      </c>
      <c r="E4438" s="11"/>
      <c r="F4438" s="9"/>
    </row>
    <row r="4439" s="1" customFormat="1" customHeight="1" spans="1:6">
      <c r="A4439" s="9" t="str">
        <f>"10210114827"</f>
        <v>10210114827</v>
      </c>
      <c r="B4439" s="10">
        <v>46.73</v>
      </c>
      <c r="C4439" s="9"/>
      <c r="D4439" s="9">
        <f t="shared" si="69"/>
        <v>46.73</v>
      </c>
      <c r="E4439" s="11"/>
      <c r="F4439" s="9"/>
    </row>
    <row r="4440" s="1" customFormat="1" customHeight="1" spans="1:6">
      <c r="A4440" s="9" t="str">
        <f>"10170114828"</f>
        <v>10170114828</v>
      </c>
      <c r="B4440" s="10">
        <v>0</v>
      </c>
      <c r="C4440" s="9"/>
      <c r="D4440" s="9">
        <f t="shared" si="69"/>
        <v>0</v>
      </c>
      <c r="E4440" s="11"/>
      <c r="F4440" s="9" t="s">
        <v>7</v>
      </c>
    </row>
    <row r="4441" s="1" customFormat="1" customHeight="1" spans="1:6">
      <c r="A4441" s="9" t="str">
        <f>"10330114829"</f>
        <v>10330114829</v>
      </c>
      <c r="B4441" s="10">
        <v>38.2</v>
      </c>
      <c r="C4441" s="9"/>
      <c r="D4441" s="9">
        <f t="shared" si="69"/>
        <v>38.2</v>
      </c>
      <c r="E4441" s="11"/>
      <c r="F4441" s="9"/>
    </row>
    <row r="4442" s="1" customFormat="1" customHeight="1" spans="1:6">
      <c r="A4442" s="9" t="str">
        <f>"10220114830"</f>
        <v>10220114830</v>
      </c>
      <c r="B4442" s="10">
        <v>49.31</v>
      </c>
      <c r="C4442" s="9"/>
      <c r="D4442" s="9">
        <f t="shared" si="69"/>
        <v>49.31</v>
      </c>
      <c r="E4442" s="11"/>
      <c r="F4442" s="9"/>
    </row>
    <row r="4443" s="1" customFormat="1" customHeight="1" spans="1:6">
      <c r="A4443" s="9" t="str">
        <f>"10060114901"</f>
        <v>10060114901</v>
      </c>
      <c r="B4443" s="10">
        <v>34.8</v>
      </c>
      <c r="C4443" s="9"/>
      <c r="D4443" s="9">
        <f t="shared" si="69"/>
        <v>34.8</v>
      </c>
      <c r="E4443" s="11"/>
      <c r="F4443" s="9"/>
    </row>
    <row r="4444" s="1" customFormat="1" customHeight="1" spans="1:6">
      <c r="A4444" s="9" t="str">
        <f>"10360114902"</f>
        <v>10360114902</v>
      </c>
      <c r="B4444" s="10">
        <v>0</v>
      </c>
      <c r="C4444" s="9"/>
      <c r="D4444" s="9">
        <f t="shared" si="69"/>
        <v>0</v>
      </c>
      <c r="E4444" s="11"/>
      <c r="F4444" s="9" t="s">
        <v>7</v>
      </c>
    </row>
    <row r="4445" s="1" customFormat="1" customHeight="1" spans="1:6">
      <c r="A4445" s="9" t="str">
        <f>"10430114903"</f>
        <v>10430114903</v>
      </c>
      <c r="B4445" s="10">
        <v>40.08</v>
      </c>
      <c r="C4445" s="9"/>
      <c r="D4445" s="9">
        <f t="shared" si="69"/>
        <v>40.08</v>
      </c>
      <c r="E4445" s="11"/>
      <c r="F4445" s="9"/>
    </row>
    <row r="4446" s="1" customFormat="1" customHeight="1" spans="1:6">
      <c r="A4446" s="9" t="str">
        <f>"10130114904"</f>
        <v>10130114904</v>
      </c>
      <c r="B4446" s="10">
        <v>0</v>
      </c>
      <c r="C4446" s="9"/>
      <c r="D4446" s="9">
        <f t="shared" si="69"/>
        <v>0</v>
      </c>
      <c r="E4446" s="11"/>
      <c r="F4446" s="9" t="s">
        <v>7</v>
      </c>
    </row>
    <row r="4447" s="1" customFormat="1" customHeight="1" spans="1:6">
      <c r="A4447" s="9" t="str">
        <f>"10360114905"</f>
        <v>10360114905</v>
      </c>
      <c r="B4447" s="10">
        <v>36.32</v>
      </c>
      <c r="C4447" s="9"/>
      <c r="D4447" s="9">
        <f t="shared" si="69"/>
        <v>36.32</v>
      </c>
      <c r="E4447" s="11"/>
      <c r="F4447" s="9"/>
    </row>
    <row r="4448" s="1" customFormat="1" customHeight="1" spans="1:6">
      <c r="A4448" s="9" t="str">
        <f>"10290114906"</f>
        <v>10290114906</v>
      </c>
      <c r="B4448" s="10">
        <v>35.48</v>
      </c>
      <c r="C4448" s="9"/>
      <c r="D4448" s="9">
        <f t="shared" si="69"/>
        <v>35.48</v>
      </c>
      <c r="E4448" s="11"/>
      <c r="F4448" s="9"/>
    </row>
    <row r="4449" s="1" customFormat="1" customHeight="1" spans="1:6">
      <c r="A4449" s="9" t="str">
        <f>"10470114907"</f>
        <v>10470114907</v>
      </c>
      <c r="B4449" s="10">
        <v>31.92</v>
      </c>
      <c r="C4449" s="9"/>
      <c r="D4449" s="9">
        <f t="shared" si="69"/>
        <v>31.92</v>
      </c>
      <c r="E4449" s="11"/>
      <c r="F4449" s="9"/>
    </row>
    <row r="4450" s="1" customFormat="1" customHeight="1" spans="1:6">
      <c r="A4450" s="9" t="str">
        <f>"10360114908"</f>
        <v>10360114908</v>
      </c>
      <c r="B4450" s="10">
        <v>35.72</v>
      </c>
      <c r="C4450" s="9"/>
      <c r="D4450" s="9">
        <f t="shared" si="69"/>
        <v>35.72</v>
      </c>
      <c r="E4450" s="11"/>
      <c r="F4450" s="9"/>
    </row>
    <row r="4451" s="1" customFormat="1" customHeight="1" spans="1:6">
      <c r="A4451" s="9" t="str">
        <f>"10060114909"</f>
        <v>10060114909</v>
      </c>
      <c r="B4451" s="10">
        <v>47.62</v>
      </c>
      <c r="C4451" s="9"/>
      <c r="D4451" s="9">
        <f t="shared" si="69"/>
        <v>47.62</v>
      </c>
      <c r="E4451" s="11"/>
      <c r="F4451" s="9"/>
    </row>
    <row r="4452" s="1" customFormat="1" customHeight="1" spans="1:6">
      <c r="A4452" s="9" t="str">
        <f>"10060114910"</f>
        <v>10060114910</v>
      </c>
      <c r="B4452" s="10">
        <v>42.18</v>
      </c>
      <c r="C4452" s="9"/>
      <c r="D4452" s="9">
        <f t="shared" si="69"/>
        <v>42.18</v>
      </c>
      <c r="E4452" s="11"/>
      <c r="F4452" s="9"/>
    </row>
    <row r="4453" s="1" customFormat="1" customHeight="1" spans="1:6">
      <c r="A4453" s="9" t="str">
        <f>"20270114911"</f>
        <v>20270114911</v>
      </c>
      <c r="B4453" s="10">
        <v>43.01</v>
      </c>
      <c r="C4453" s="9">
        <v>10</v>
      </c>
      <c r="D4453" s="9">
        <f t="shared" si="69"/>
        <v>53.01</v>
      </c>
      <c r="E4453" s="12" t="s">
        <v>8</v>
      </c>
      <c r="F4453" s="9"/>
    </row>
    <row r="4454" s="1" customFormat="1" customHeight="1" spans="1:6">
      <c r="A4454" s="9" t="str">
        <f>"10090114912"</f>
        <v>10090114912</v>
      </c>
      <c r="B4454" s="10">
        <v>0</v>
      </c>
      <c r="C4454" s="9"/>
      <c r="D4454" s="9">
        <f t="shared" si="69"/>
        <v>0</v>
      </c>
      <c r="E4454" s="11"/>
      <c r="F4454" s="9" t="s">
        <v>7</v>
      </c>
    </row>
    <row r="4455" s="1" customFormat="1" customHeight="1" spans="1:6">
      <c r="A4455" s="9" t="str">
        <f>"10530114913"</f>
        <v>10530114913</v>
      </c>
      <c r="B4455" s="10">
        <v>0</v>
      </c>
      <c r="C4455" s="9"/>
      <c r="D4455" s="9">
        <f t="shared" si="69"/>
        <v>0</v>
      </c>
      <c r="E4455" s="11"/>
      <c r="F4455" s="9" t="s">
        <v>7</v>
      </c>
    </row>
    <row r="4456" s="1" customFormat="1" customHeight="1" spans="1:6">
      <c r="A4456" s="9" t="str">
        <f>"10530114914"</f>
        <v>10530114914</v>
      </c>
      <c r="B4456" s="10">
        <v>32.42</v>
      </c>
      <c r="C4456" s="9"/>
      <c r="D4456" s="9">
        <f t="shared" si="69"/>
        <v>32.42</v>
      </c>
      <c r="E4456" s="11"/>
      <c r="F4456" s="9"/>
    </row>
    <row r="4457" s="1" customFormat="1" customHeight="1" spans="1:6">
      <c r="A4457" s="9" t="str">
        <f>"10060114915"</f>
        <v>10060114915</v>
      </c>
      <c r="B4457" s="10">
        <v>0</v>
      </c>
      <c r="C4457" s="9"/>
      <c r="D4457" s="9">
        <f t="shared" si="69"/>
        <v>0</v>
      </c>
      <c r="E4457" s="11"/>
      <c r="F4457" s="9" t="s">
        <v>7</v>
      </c>
    </row>
    <row r="4458" s="1" customFormat="1" customHeight="1" spans="1:6">
      <c r="A4458" s="9" t="str">
        <f>"10510114916"</f>
        <v>10510114916</v>
      </c>
      <c r="B4458" s="10">
        <v>25.6</v>
      </c>
      <c r="C4458" s="9"/>
      <c r="D4458" s="9">
        <f t="shared" si="69"/>
        <v>25.6</v>
      </c>
      <c r="E4458" s="11"/>
      <c r="F4458" s="9"/>
    </row>
    <row r="4459" s="1" customFormat="1" customHeight="1" spans="1:6">
      <c r="A4459" s="9" t="str">
        <f>"10360114917"</f>
        <v>10360114917</v>
      </c>
      <c r="B4459" s="10">
        <v>42.13</v>
      </c>
      <c r="C4459" s="9"/>
      <c r="D4459" s="9">
        <f t="shared" si="69"/>
        <v>42.13</v>
      </c>
      <c r="E4459" s="11"/>
      <c r="F4459" s="9"/>
    </row>
    <row r="4460" s="1" customFormat="1" customHeight="1" spans="1:6">
      <c r="A4460" s="9" t="str">
        <f>"10360114918"</f>
        <v>10360114918</v>
      </c>
      <c r="B4460" s="10">
        <v>0</v>
      </c>
      <c r="C4460" s="9"/>
      <c r="D4460" s="9">
        <f t="shared" si="69"/>
        <v>0</v>
      </c>
      <c r="E4460" s="11"/>
      <c r="F4460" s="9" t="s">
        <v>7</v>
      </c>
    </row>
    <row r="4461" s="1" customFormat="1" customHeight="1" spans="1:6">
      <c r="A4461" s="9" t="str">
        <f>"10360114919"</f>
        <v>10360114919</v>
      </c>
      <c r="B4461" s="10">
        <v>30.62</v>
      </c>
      <c r="C4461" s="9"/>
      <c r="D4461" s="9">
        <f t="shared" si="69"/>
        <v>30.62</v>
      </c>
      <c r="E4461" s="11"/>
      <c r="F4461" s="9"/>
    </row>
    <row r="4462" s="1" customFormat="1" customHeight="1" spans="1:6">
      <c r="A4462" s="9" t="str">
        <f>"10060114920"</f>
        <v>10060114920</v>
      </c>
      <c r="B4462" s="10">
        <v>43</v>
      </c>
      <c r="C4462" s="9"/>
      <c r="D4462" s="9">
        <f t="shared" si="69"/>
        <v>43</v>
      </c>
      <c r="E4462" s="11"/>
      <c r="F4462" s="9"/>
    </row>
    <row r="4463" s="1" customFormat="1" customHeight="1" spans="1:6">
      <c r="A4463" s="9" t="str">
        <f>"10360114921"</f>
        <v>10360114921</v>
      </c>
      <c r="B4463" s="10">
        <v>0</v>
      </c>
      <c r="C4463" s="9"/>
      <c r="D4463" s="9">
        <f t="shared" si="69"/>
        <v>0</v>
      </c>
      <c r="E4463" s="11"/>
      <c r="F4463" s="9" t="s">
        <v>7</v>
      </c>
    </row>
    <row r="4464" s="1" customFormat="1" customHeight="1" spans="1:6">
      <c r="A4464" s="9" t="str">
        <f>"10530114922"</f>
        <v>10530114922</v>
      </c>
      <c r="B4464" s="10">
        <v>43.54</v>
      </c>
      <c r="C4464" s="9"/>
      <c r="D4464" s="9">
        <f t="shared" si="69"/>
        <v>43.54</v>
      </c>
      <c r="E4464" s="11"/>
      <c r="F4464" s="9"/>
    </row>
    <row r="4465" s="1" customFormat="1" customHeight="1" spans="1:6">
      <c r="A4465" s="9" t="str">
        <f>"10360114923"</f>
        <v>10360114923</v>
      </c>
      <c r="B4465" s="10">
        <v>0</v>
      </c>
      <c r="C4465" s="9"/>
      <c r="D4465" s="9">
        <f t="shared" si="69"/>
        <v>0</v>
      </c>
      <c r="E4465" s="11"/>
      <c r="F4465" s="9" t="s">
        <v>7</v>
      </c>
    </row>
    <row r="4466" s="1" customFormat="1" customHeight="1" spans="1:6">
      <c r="A4466" s="9" t="str">
        <f>"10300114924"</f>
        <v>10300114924</v>
      </c>
      <c r="B4466" s="10">
        <v>45.33</v>
      </c>
      <c r="C4466" s="9"/>
      <c r="D4466" s="9">
        <f t="shared" si="69"/>
        <v>45.33</v>
      </c>
      <c r="E4466" s="11"/>
      <c r="F4466" s="9"/>
    </row>
    <row r="4467" s="1" customFormat="1" customHeight="1" spans="1:6">
      <c r="A4467" s="9" t="str">
        <f>"10360114925"</f>
        <v>10360114925</v>
      </c>
      <c r="B4467" s="10">
        <v>30.62</v>
      </c>
      <c r="C4467" s="9"/>
      <c r="D4467" s="9">
        <f t="shared" si="69"/>
        <v>30.62</v>
      </c>
      <c r="E4467" s="11"/>
      <c r="F4467" s="9"/>
    </row>
    <row r="4468" s="1" customFormat="1" customHeight="1" spans="1:6">
      <c r="A4468" s="9" t="str">
        <f>"10240114926"</f>
        <v>10240114926</v>
      </c>
      <c r="B4468" s="10">
        <v>0</v>
      </c>
      <c r="C4468" s="9"/>
      <c r="D4468" s="9">
        <f t="shared" si="69"/>
        <v>0</v>
      </c>
      <c r="E4468" s="11"/>
      <c r="F4468" s="9" t="s">
        <v>7</v>
      </c>
    </row>
    <row r="4469" s="1" customFormat="1" customHeight="1" spans="1:6">
      <c r="A4469" s="9" t="str">
        <f>"10300114927"</f>
        <v>10300114927</v>
      </c>
      <c r="B4469" s="10">
        <v>47.75</v>
      </c>
      <c r="C4469" s="9"/>
      <c r="D4469" s="9">
        <f t="shared" si="69"/>
        <v>47.75</v>
      </c>
      <c r="E4469" s="11"/>
      <c r="F4469" s="9"/>
    </row>
    <row r="4470" s="1" customFormat="1" customHeight="1" spans="1:6">
      <c r="A4470" s="9" t="str">
        <f>"10260114928"</f>
        <v>10260114928</v>
      </c>
      <c r="B4470" s="10">
        <v>38.74</v>
      </c>
      <c r="C4470" s="9"/>
      <c r="D4470" s="9">
        <f t="shared" si="69"/>
        <v>38.74</v>
      </c>
      <c r="E4470" s="11"/>
      <c r="F4470" s="9"/>
    </row>
    <row r="4471" s="1" customFormat="1" customHeight="1" spans="1:6">
      <c r="A4471" s="9" t="str">
        <f>"10020114929"</f>
        <v>10020114929</v>
      </c>
      <c r="B4471" s="10">
        <v>43.05</v>
      </c>
      <c r="C4471" s="9"/>
      <c r="D4471" s="9">
        <f t="shared" si="69"/>
        <v>43.05</v>
      </c>
      <c r="E4471" s="11"/>
      <c r="F4471" s="9"/>
    </row>
    <row r="4472" s="1" customFormat="1" customHeight="1" spans="1:6">
      <c r="A4472" s="9" t="str">
        <f>"10430114930"</f>
        <v>10430114930</v>
      </c>
      <c r="B4472" s="10">
        <v>41.66</v>
      </c>
      <c r="C4472" s="9"/>
      <c r="D4472" s="9">
        <f t="shared" si="69"/>
        <v>41.66</v>
      </c>
      <c r="E4472" s="11"/>
      <c r="F4472" s="9"/>
    </row>
    <row r="4473" s="1" customFormat="1" customHeight="1" spans="1:6">
      <c r="A4473" s="9" t="str">
        <f>"10060115001"</f>
        <v>10060115001</v>
      </c>
      <c r="B4473" s="10">
        <v>0</v>
      </c>
      <c r="C4473" s="9"/>
      <c r="D4473" s="9">
        <f t="shared" si="69"/>
        <v>0</v>
      </c>
      <c r="E4473" s="11"/>
      <c r="F4473" s="9" t="s">
        <v>7</v>
      </c>
    </row>
    <row r="4474" s="1" customFormat="1" customHeight="1" spans="1:6">
      <c r="A4474" s="9" t="str">
        <f>"10320115002"</f>
        <v>10320115002</v>
      </c>
      <c r="B4474" s="10">
        <v>0</v>
      </c>
      <c r="C4474" s="9"/>
      <c r="D4474" s="9">
        <f t="shared" si="69"/>
        <v>0</v>
      </c>
      <c r="E4474" s="11"/>
      <c r="F4474" s="9" t="s">
        <v>7</v>
      </c>
    </row>
    <row r="4475" s="1" customFormat="1" customHeight="1" spans="1:6">
      <c r="A4475" s="9" t="str">
        <f>"10510115003"</f>
        <v>10510115003</v>
      </c>
      <c r="B4475" s="10">
        <v>39.34</v>
      </c>
      <c r="C4475" s="9"/>
      <c r="D4475" s="9">
        <f t="shared" si="69"/>
        <v>39.34</v>
      </c>
      <c r="E4475" s="11"/>
      <c r="F4475" s="9"/>
    </row>
    <row r="4476" s="1" customFormat="1" customHeight="1" spans="1:6">
      <c r="A4476" s="9" t="str">
        <f>"10360115004"</f>
        <v>10360115004</v>
      </c>
      <c r="B4476" s="10">
        <v>39.94</v>
      </c>
      <c r="C4476" s="9"/>
      <c r="D4476" s="9">
        <f t="shared" si="69"/>
        <v>39.94</v>
      </c>
      <c r="E4476" s="11"/>
      <c r="F4476" s="9"/>
    </row>
    <row r="4477" s="1" customFormat="1" customHeight="1" spans="1:6">
      <c r="A4477" s="9" t="str">
        <f>"10530115005"</f>
        <v>10530115005</v>
      </c>
      <c r="B4477" s="10">
        <v>30.24</v>
      </c>
      <c r="C4477" s="9"/>
      <c r="D4477" s="9">
        <f t="shared" si="69"/>
        <v>30.24</v>
      </c>
      <c r="E4477" s="11"/>
      <c r="F4477" s="9"/>
    </row>
    <row r="4478" s="1" customFormat="1" customHeight="1" spans="1:6">
      <c r="A4478" s="9" t="str">
        <f>"10530115006"</f>
        <v>10530115006</v>
      </c>
      <c r="B4478" s="10">
        <v>0</v>
      </c>
      <c r="C4478" s="9"/>
      <c r="D4478" s="9">
        <f t="shared" si="69"/>
        <v>0</v>
      </c>
      <c r="E4478" s="11"/>
      <c r="F4478" s="9" t="s">
        <v>7</v>
      </c>
    </row>
    <row r="4479" s="1" customFormat="1" customHeight="1" spans="1:6">
      <c r="A4479" s="9" t="str">
        <f>"10530115007"</f>
        <v>10530115007</v>
      </c>
      <c r="B4479" s="10">
        <v>0</v>
      </c>
      <c r="C4479" s="9"/>
      <c r="D4479" s="9">
        <f t="shared" si="69"/>
        <v>0</v>
      </c>
      <c r="E4479" s="11"/>
      <c r="F4479" s="9" t="s">
        <v>7</v>
      </c>
    </row>
    <row r="4480" s="1" customFormat="1" customHeight="1" spans="1:6">
      <c r="A4480" s="9" t="str">
        <f>"10100115008"</f>
        <v>10100115008</v>
      </c>
      <c r="B4480" s="10">
        <v>0</v>
      </c>
      <c r="C4480" s="9"/>
      <c r="D4480" s="9">
        <f t="shared" si="69"/>
        <v>0</v>
      </c>
      <c r="E4480" s="11"/>
      <c r="F4480" s="9" t="s">
        <v>7</v>
      </c>
    </row>
    <row r="4481" s="1" customFormat="1" customHeight="1" spans="1:6">
      <c r="A4481" s="9" t="str">
        <f>"10240115009"</f>
        <v>10240115009</v>
      </c>
      <c r="B4481" s="10">
        <v>34.82</v>
      </c>
      <c r="C4481" s="9"/>
      <c r="D4481" s="9">
        <f t="shared" si="69"/>
        <v>34.82</v>
      </c>
      <c r="E4481" s="11"/>
      <c r="F4481" s="9"/>
    </row>
    <row r="4482" s="1" customFormat="1" customHeight="1" spans="1:6">
      <c r="A4482" s="9" t="str">
        <f>"10530115010"</f>
        <v>10530115010</v>
      </c>
      <c r="B4482" s="10">
        <v>39.82</v>
      </c>
      <c r="C4482" s="9"/>
      <c r="D4482" s="9">
        <f t="shared" si="69"/>
        <v>39.82</v>
      </c>
      <c r="E4482" s="11"/>
      <c r="F4482" s="9"/>
    </row>
    <row r="4483" s="1" customFormat="1" customHeight="1" spans="1:6">
      <c r="A4483" s="9" t="str">
        <f>"10140115011"</f>
        <v>10140115011</v>
      </c>
      <c r="B4483" s="10">
        <v>0</v>
      </c>
      <c r="C4483" s="9"/>
      <c r="D4483" s="9">
        <f t="shared" ref="D4483:D4546" si="70">SUM(B4483:C4483)</f>
        <v>0</v>
      </c>
      <c r="E4483" s="11"/>
      <c r="F4483" s="9" t="s">
        <v>7</v>
      </c>
    </row>
    <row r="4484" s="1" customFormat="1" customHeight="1" spans="1:6">
      <c r="A4484" s="9" t="str">
        <f>"10360115012"</f>
        <v>10360115012</v>
      </c>
      <c r="B4484" s="10">
        <v>39.18</v>
      </c>
      <c r="C4484" s="9"/>
      <c r="D4484" s="9">
        <f t="shared" si="70"/>
        <v>39.18</v>
      </c>
      <c r="E4484" s="11"/>
      <c r="F4484" s="9"/>
    </row>
    <row r="4485" s="1" customFormat="1" customHeight="1" spans="1:6">
      <c r="A4485" s="9" t="str">
        <f>"10190115013"</f>
        <v>10190115013</v>
      </c>
      <c r="B4485" s="10">
        <v>0</v>
      </c>
      <c r="C4485" s="9"/>
      <c r="D4485" s="9">
        <f t="shared" si="70"/>
        <v>0</v>
      </c>
      <c r="E4485" s="11"/>
      <c r="F4485" s="9" t="s">
        <v>7</v>
      </c>
    </row>
    <row r="4486" s="1" customFormat="1" customHeight="1" spans="1:6">
      <c r="A4486" s="9" t="str">
        <f>"10120115014"</f>
        <v>10120115014</v>
      </c>
      <c r="B4486" s="10">
        <v>37.83</v>
      </c>
      <c r="C4486" s="9"/>
      <c r="D4486" s="9">
        <f t="shared" si="70"/>
        <v>37.83</v>
      </c>
      <c r="E4486" s="11"/>
      <c r="F4486" s="9"/>
    </row>
    <row r="4487" s="1" customFormat="1" customHeight="1" spans="1:6">
      <c r="A4487" s="9" t="str">
        <f>"10440115015"</f>
        <v>10440115015</v>
      </c>
      <c r="B4487" s="10">
        <v>36.77</v>
      </c>
      <c r="C4487" s="9"/>
      <c r="D4487" s="9">
        <f t="shared" si="70"/>
        <v>36.77</v>
      </c>
      <c r="E4487" s="11"/>
      <c r="F4487" s="9"/>
    </row>
    <row r="4488" s="1" customFormat="1" customHeight="1" spans="1:6">
      <c r="A4488" s="9" t="str">
        <f>"10520115016"</f>
        <v>10520115016</v>
      </c>
      <c r="B4488" s="10">
        <v>39.43</v>
      </c>
      <c r="C4488" s="9"/>
      <c r="D4488" s="9">
        <f t="shared" si="70"/>
        <v>39.43</v>
      </c>
      <c r="E4488" s="11"/>
      <c r="F4488" s="9"/>
    </row>
    <row r="4489" s="1" customFormat="1" customHeight="1" spans="1:6">
      <c r="A4489" s="9" t="str">
        <f>"10210115017"</f>
        <v>10210115017</v>
      </c>
      <c r="B4489" s="10">
        <v>45.82</v>
      </c>
      <c r="C4489" s="9"/>
      <c r="D4489" s="9">
        <f t="shared" si="70"/>
        <v>45.82</v>
      </c>
      <c r="E4489" s="11"/>
      <c r="F4489" s="9"/>
    </row>
    <row r="4490" s="1" customFormat="1" customHeight="1" spans="1:6">
      <c r="A4490" s="9" t="str">
        <f>"10450115018"</f>
        <v>10450115018</v>
      </c>
      <c r="B4490" s="10">
        <v>0</v>
      </c>
      <c r="C4490" s="9"/>
      <c r="D4490" s="9">
        <f t="shared" si="70"/>
        <v>0</v>
      </c>
      <c r="E4490" s="11"/>
      <c r="F4490" s="9" t="s">
        <v>7</v>
      </c>
    </row>
    <row r="4491" s="1" customFormat="1" customHeight="1" spans="1:6">
      <c r="A4491" s="9" t="str">
        <f>"10530115019"</f>
        <v>10530115019</v>
      </c>
      <c r="B4491" s="10">
        <v>0</v>
      </c>
      <c r="C4491" s="9"/>
      <c r="D4491" s="9">
        <f t="shared" si="70"/>
        <v>0</v>
      </c>
      <c r="E4491" s="11"/>
      <c r="F4491" s="9" t="s">
        <v>7</v>
      </c>
    </row>
    <row r="4492" s="1" customFormat="1" customHeight="1" spans="1:6">
      <c r="A4492" s="9" t="str">
        <f>"10110115020"</f>
        <v>10110115020</v>
      </c>
      <c r="B4492" s="10">
        <v>31.07</v>
      </c>
      <c r="C4492" s="9"/>
      <c r="D4492" s="9">
        <f t="shared" si="70"/>
        <v>31.07</v>
      </c>
      <c r="E4492" s="11"/>
      <c r="F4492" s="9"/>
    </row>
    <row r="4493" s="1" customFormat="1" customHeight="1" spans="1:6">
      <c r="A4493" s="9" t="str">
        <f>"10040115021"</f>
        <v>10040115021</v>
      </c>
      <c r="B4493" s="10">
        <v>0</v>
      </c>
      <c r="C4493" s="9"/>
      <c r="D4493" s="9">
        <f t="shared" si="70"/>
        <v>0</v>
      </c>
      <c r="E4493" s="11"/>
      <c r="F4493" s="9" t="s">
        <v>7</v>
      </c>
    </row>
    <row r="4494" s="1" customFormat="1" customHeight="1" spans="1:6">
      <c r="A4494" s="9" t="str">
        <f>"10210115022"</f>
        <v>10210115022</v>
      </c>
      <c r="B4494" s="10">
        <v>38.09</v>
      </c>
      <c r="C4494" s="9"/>
      <c r="D4494" s="9">
        <f t="shared" si="70"/>
        <v>38.09</v>
      </c>
      <c r="E4494" s="11"/>
      <c r="F4494" s="9"/>
    </row>
    <row r="4495" s="1" customFormat="1" customHeight="1" spans="1:6">
      <c r="A4495" s="9" t="str">
        <f>"10360115023"</f>
        <v>10360115023</v>
      </c>
      <c r="B4495" s="10">
        <v>42.64</v>
      </c>
      <c r="C4495" s="9"/>
      <c r="D4495" s="9">
        <f t="shared" si="70"/>
        <v>42.64</v>
      </c>
      <c r="E4495" s="11"/>
      <c r="F4495" s="9"/>
    </row>
    <row r="4496" s="1" customFormat="1" customHeight="1" spans="1:6">
      <c r="A4496" s="9" t="str">
        <f>"10270115024"</f>
        <v>10270115024</v>
      </c>
      <c r="B4496" s="10">
        <v>37.74</v>
      </c>
      <c r="C4496" s="9"/>
      <c r="D4496" s="9">
        <f t="shared" si="70"/>
        <v>37.74</v>
      </c>
      <c r="E4496" s="11"/>
      <c r="F4496" s="9"/>
    </row>
    <row r="4497" s="1" customFormat="1" customHeight="1" spans="1:6">
      <c r="A4497" s="9" t="str">
        <f>"10360115025"</f>
        <v>10360115025</v>
      </c>
      <c r="B4497" s="10">
        <v>44.51</v>
      </c>
      <c r="C4497" s="9"/>
      <c r="D4497" s="9">
        <f t="shared" si="70"/>
        <v>44.51</v>
      </c>
      <c r="E4497" s="11"/>
      <c r="F4497" s="9"/>
    </row>
    <row r="4498" s="1" customFormat="1" customHeight="1" spans="1:6">
      <c r="A4498" s="9" t="str">
        <f>"10460115026"</f>
        <v>10460115026</v>
      </c>
      <c r="B4498" s="10">
        <v>40.79</v>
      </c>
      <c r="C4498" s="9"/>
      <c r="D4498" s="9">
        <f t="shared" si="70"/>
        <v>40.79</v>
      </c>
      <c r="E4498" s="11"/>
      <c r="F4498" s="9"/>
    </row>
    <row r="4499" s="1" customFormat="1" customHeight="1" spans="1:6">
      <c r="A4499" s="9" t="str">
        <f>"10360115027"</f>
        <v>10360115027</v>
      </c>
      <c r="B4499" s="10">
        <v>41.36</v>
      </c>
      <c r="C4499" s="9"/>
      <c r="D4499" s="9">
        <f t="shared" si="70"/>
        <v>41.36</v>
      </c>
      <c r="E4499" s="11"/>
      <c r="F4499" s="9"/>
    </row>
    <row r="4500" s="1" customFormat="1" customHeight="1" spans="1:6">
      <c r="A4500" s="9" t="str">
        <f>"10360115028"</f>
        <v>10360115028</v>
      </c>
      <c r="B4500" s="10">
        <v>39.76</v>
      </c>
      <c r="C4500" s="9"/>
      <c r="D4500" s="9">
        <f t="shared" si="70"/>
        <v>39.76</v>
      </c>
      <c r="E4500" s="11"/>
      <c r="F4500" s="9"/>
    </row>
    <row r="4501" s="1" customFormat="1" customHeight="1" spans="1:6">
      <c r="A4501" s="9" t="str">
        <f>"10140115029"</f>
        <v>10140115029</v>
      </c>
      <c r="B4501" s="10">
        <v>35.58</v>
      </c>
      <c r="C4501" s="9"/>
      <c r="D4501" s="9">
        <f t="shared" si="70"/>
        <v>35.58</v>
      </c>
      <c r="E4501" s="11"/>
      <c r="F4501" s="9"/>
    </row>
    <row r="4502" s="1" customFormat="1" customHeight="1" spans="1:6">
      <c r="A4502" s="9" t="str">
        <f>"10330115030"</f>
        <v>10330115030</v>
      </c>
      <c r="B4502" s="10">
        <v>38.03</v>
      </c>
      <c r="C4502" s="9"/>
      <c r="D4502" s="9">
        <f t="shared" si="70"/>
        <v>38.03</v>
      </c>
      <c r="E4502" s="11"/>
      <c r="F4502" s="9"/>
    </row>
    <row r="4503" s="1" customFormat="1" customHeight="1" spans="1:6">
      <c r="A4503" s="9" t="str">
        <f>"10170115101"</f>
        <v>10170115101</v>
      </c>
      <c r="B4503" s="10">
        <v>0</v>
      </c>
      <c r="C4503" s="9"/>
      <c r="D4503" s="9">
        <f t="shared" si="70"/>
        <v>0</v>
      </c>
      <c r="E4503" s="11"/>
      <c r="F4503" s="9" t="s">
        <v>7</v>
      </c>
    </row>
    <row r="4504" s="1" customFormat="1" customHeight="1" spans="1:6">
      <c r="A4504" s="9" t="str">
        <f>"10060115102"</f>
        <v>10060115102</v>
      </c>
      <c r="B4504" s="10">
        <v>43.83</v>
      </c>
      <c r="C4504" s="9"/>
      <c r="D4504" s="9">
        <f t="shared" si="70"/>
        <v>43.83</v>
      </c>
      <c r="E4504" s="11"/>
      <c r="F4504" s="9"/>
    </row>
    <row r="4505" s="1" customFormat="1" customHeight="1" spans="1:6">
      <c r="A4505" s="9" t="str">
        <f>"10180115103"</f>
        <v>10180115103</v>
      </c>
      <c r="B4505" s="10">
        <v>38</v>
      </c>
      <c r="C4505" s="9"/>
      <c r="D4505" s="9">
        <f t="shared" si="70"/>
        <v>38</v>
      </c>
      <c r="E4505" s="11"/>
      <c r="F4505" s="9"/>
    </row>
    <row r="4506" s="1" customFormat="1" customHeight="1" spans="1:6">
      <c r="A4506" s="9" t="str">
        <f>"10080115104"</f>
        <v>10080115104</v>
      </c>
      <c r="B4506" s="10">
        <v>0</v>
      </c>
      <c r="C4506" s="9"/>
      <c r="D4506" s="9">
        <f t="shared" si="70"/>
        <v>0</v>
      </c>
      <c r="E4506" s="11"/>
      <c r="F4506" s="9" t="s">
        <v>7</v>
      </c>
    </row>
    <row r="4507" s="1" customFormat="1" customHeight="1" spans="1:6">
      <c r="A4507" s="9" t="str">
        <f>"10360115105"</f>
        <v>10360115105</v>
      </c>
      <c r="B4507" s="10">
        <v>29.84</v>
      </c>
      <c r="C4507" s="9"/>
      <c r="D4507" s="9">
        <f t="shared" si="70"/>
        <v>29.84</v>
      </c>
      <c r="E4507" s="11"/>
      <c r="F4507" s="9"/>
    </row>
    <row r="4508" s="1" customFormat="1" customHeight="1" spans="1:6">
      <c r="A4508" s="9" t="str">
        <f>"10440115106"</f>
        <v>10440115106</v>
      </c>
      <c r="B4508" s="10">
        <v>0</v>
      </c>
      <c r="C4508" s="9"/>
      <c r="D4508" s="9">
        <f t="shared" si="70"/>
        <v>0</v>
      </c>
      <c r="E4508" s="11"/>
      <c r="F4508" s="9" t="s">
        <v>7</v>
      </c>
    </row>
    <row r="4509" s="1" customFormat="1" customHeight="1" spans="1:6">
      <c r="A4509" s="9" t="str">
        <f>"10050115107"</f>
        <v>10050115107</v>
      </c>
      <c r="B4509" s="10">
        <v>40.31</v>
      </c>
      <c r="C4509" s="9"/>
      <c r="D4509" s="9">
        <f t="shared" si="70"/>
        <v>40.31</v>
      </c>
      <c r="E4509" s="11"/>
      <c r="F4509" s="9"/>
    </row>
    <row r="4510" s="1" customFormat="1" customHeight="1" spans="1:6">
      <c r="A4510" s="9" t="str">
        <f>"10110115108"</f>
        <v>10110115108</v>
      </c>
      <c r="B4510" s="10">
        <v>33.71</v>
      </c>
      <c r="C4510" s="9"/>
      <c r="D4510" s="9">
        <f t="shared" si="70"/>
        <v>33.71</v>
      </c>
      <c r="E4510" s="11"/>
      <c r="F4510" s="9"/>
    </row>
    <row r="4511" s="1" customFormat="1" customHeight="1" spans="1:6">
      <c r="A4511" s="9" t="str">
        <f>"10360115109"</f>
        <v>10360115109</v>
      </c>
      <c r="B4511" s="10">
        <v>45.13</v>
      </c>
      <c r="C4511" s="9"/>
      <c r="D4511" s="9">
        <f t="shared" si="70"/>
        <v>45.13</v>
      </c>
      <c r="E4511" s="11"/>
      <c r="F4511" s="9"/>
    </row>
    <row r="4512" s="1" customFormat="1" customHeight="1" spans="1:6">
      <c r="A4512" s="9" t="str">
        <f>"10110115110"</f>
        <v>10110115110</v>
      </c>
      <c r="B4512" s="10">
        <v>39.1</v>
      </c>
      <c r="C4512" s="9"/>
      <c r="D4512" s="9">
        <f t="shared" si="70"/>
        <v>39.1</v>
      </c>
      <c r="E4512" s="11"/>
      <c r="F4512" s="9"/>
    </row>
    <row r="4513" s="1" customFormat="1" customHeight="1" spans="1:6">
      <c r="A4513" s="9" t="str">
        <f>"10360115111"</f>
        <v>10360115111</v>
      </c>
      <c r="B4513" s="10">
        <v>35.83</v>
      </c>
      <c r="C4513" s="9"/>
      <c r="D4513" s="9">
        <f t="shared" si="70"/>
        <v>35.83</v>
      </c>
      <c r="E4513" s="11"/>
      <c r="F4513" s="9"/>
    </row>
    <row r="4514" s="1" customFormat="1" customHeight="1" spans="1:6">
      <c r="A4514" s="9" t="str">
        <f>"10210115112"</f>
        <v>10210115112</v>
      </c>
      <c r="B4514" s="10">
        <v>0</v>
      </c>
      <c r="C4514" s="9"/>
      <c r="D4514" s="9">
        <f t="shared" si="70"/>
        <v>0</v>
      </c>
      <c r="E4514" s="11"/>
      <c r="F4514" s="9" t="s">
        <v>7</v>
      </c>
    </row>
    <row r="4515" s="1" customFormat="1" customHeight="1" spans="1:6">
      <c r="A4515" s="9" t="str">
        <f>"10360115113"</f>
        <v>10360115113</v>
      </c>
      <c r="B4515" s="10">
        <v>0</v>
      </c>
      <c r="C4515" s="9"/>
      <c r="D4515" s="9">
        <f t="shared" si="70"/>
        <v>0</v>
      </c>
      <c r="E4515" s="11"/>
      <c r="F4515" s="9" t="s">
        <v>7</v>
      </c>
    </row>
    <row r="4516" s="1" customFormat="1" customHeight="1" spans="1:6">
      <c r="A4516" s="9" t="str">
        <f>"10180115114"</f>
        <v>10180115114</v>
      </c>
      <c r="B4516" s="10">
        <v>43.04</v>
      </c>
      <c r="C4516" s="9"/>
      <c r="D4516" s="9">
        <f t="shared" si="70"/>
        <v>43.04</v>
      </c>
      <c r="E4516" s="11"/>
      <c r="F4516" s="9"/>
    </row>
    <row r="4517" s="1" customFormat="1" customHeight="1" spans="1:6">
      <c r="A4517" s="9" t="str">
        <f>"10120115115"</f>
        <v>10120115115</v>
      </c>
      <c r="B4517" s="10">
        <v>30.15</v>
      </c>
      <c r="C4517" s="9"/>
      <c r="D4517" s="9">
        <f t="shared" si="70"/>
        <v>30.15</v>
      </c>
      <c r="E4517" s="11"/>
      <c r="F4517" s="9"/>
    </row>
    <row r="4518" s="1" customFormat="1" customHeight="1" spans="1:6">
      <c r="A4518" s="9" t="str">
        <f>"10440115116"</f>
        <v>10440115116</v>
      </c>
      <c r="B4518" s="10">
        <v>35.58</v>
      </c>
      <c r="C4518" s="9"/>
      <c r="D4518" s="9">
        <f t="shared" si="70"/>
        <v>35.58</v>
      </c>
      <c r="E4518" s="11"/>
      <c r="F4518" s="9"/>
    </row>
    <row r="4519" s="1" customFormat="1" customHeight="1" spans="1:6">
      <c r="A4519" s="9" t="str">
        <f>"10020115117"</f>
        <v>10020115117</v>
      </c>
      <c r="B4519" s="10">
        <v>0</v>
      </c>
      <c r="C4519" s="9"/>
      <c r="D4519" s="9">
        <f t="shared" si="70"/>
        <v>0</v>
      </c>
      <c r="E4519" s="11"/>
      <c r="F4519" s="9" t="s">
        <v>7</v>
      </c>
    </row>
    <row r="4520" s="1" customFormat="1" customHeight="1" spans="1:6">
      <c r="A4520" s="9" t="str">
        <f>"10010115118"</f>
        <v>10010115118</v>
      </c>
      <c r="B4520" s="10">
        <v>38.46</v>
      </c>
      <c r="C4520" s="9"/>
      <c r="D4520" s="9">
        <f t="shared" si="70"/>
        <v>38.46</v>
      </c>
      <c r="E4520" s="11"/>
      <c r="F4520" s="9"/>
    </row>
    <row r="4521" s="1" customFormat="1" customHeight="1" spans="1:6">
      <c r="A4521" s="9" t="str">
        <f>"10500115119"</f>
        <v>10500115119</v>
      </c>
      <c r="B4521" s="10">
        <v>28.84</v>
      </c>
      <c r="C4521" s="9"/>
      <c r="D4521" s="9">
        <f t="shared" si="70"/>
        <v>28.84</v>
      </c>
      <c r="E4521" s="11"/>
      <c r="F4521" s="9"/>
    </row>
    <row r="4522" s="1" customFormat="1" customHeight="1" spans="1:6">
      <c r="A4522" s="9" t="str">
        <f>"10530115120"</f>
        <v>10530115120</v>
      </c>
      <c r="B4522" s="10">
        <v>33.28</v>
      </c>
      <c r="C4522" s="9"/>
      <c r="D4522" s="9">
        <f t="shared" si="70"/>
        <v>33.28</v>
      </c>
      <c r="E4522" s="11"/>
      <c r="F4522" s="9"/>
    </row>
    <row r="4523" s="1" customFormat="1" customHeight="1" spans="1:6">
      <c r="A4523" s="9" t="str">
        <f>"10360115121"</f>
        <v>10360115121</v>
      </c>
      <c r="B4523" s="10">
        <v>36.35</v>
      </c>
      <c r="C4523" s="9"/>
      <c r="D4523" s="9">
        <f t="shared" si="70"/>
        <v>36.35</v>
      </c>
      <c r="E4523" s="11"/>
      <c r="F4523" s="9"/>
    </row>
    <row r="4524" s="1" customFormat="1" customHeight="1" spans="1:6">
      <c r="A4524" s="9" t="str">
        <f>"10530115122"</f>
        <v>10530115122</v>
      </c>
      <c r="B4524" s="10">
        <v>28.79</v>
      </c>
      <c r="C4524" s="9"/>
      <c r="D4524" s="9">
        <f t="shared" si="70"/>
        <v>28.79</v>
      </c>
      <c r="E4524" s="11"/>
      <c r="F4524" s="9"/>
    </row>
    <row r="4525" s="1" customFormat="1" customHeight="1" spans="1:6">
      <c r="A4525" s="9" t="str">
        <f>"10100115123"</f>
        <v>10100115123</v>
      </c>
      <c r="B4525" s="10">
        <v>0</v>
      </c>
      <c r="C4525" s="9"/>
      <c r="D4525" s="9">
        <f t="shared" si="70"/>
        <v>0</v>
      </c>
      <c r="E4525" s="11"/>
      <c r="F4525" s="9" t="s">
        <v>7</v>
      </c>
    </row>
    <row r="4526" s="1" customFormat="1" customHeight="1" spans="1:6">
      <c r="A4526" s="9" t="str">
        <f>"10360115124"</f>
        <v>10360115124</v>
      </c>
      <c r="B4526" s="10">
        <v>48.91</v>
      </c>
      <c r="C4526" s="9"/>
      <c r="D4526" s="9">
        <f t="shared" si="70"/>
        <v>48.91</v>
      </c>
      <c r="E4526" s="11"/>
      <c r="F4526" s="9"/>
    </row>
    <row r="4527" s="1" customFormat="1" customHeight="1" spans="1:6">
      <c r="A4527" s="9" t="str">
        <f>"10360115125"</f>
        <v>10360115125</v>
      </c>
      <c r="B4527" s="10">
        <v>41.97</v>
      </c>
      <c r="C4527" s="9">
        <v>10</v>
      </c>
      <c r="D4527" s="9">
        <f t="shared" si="70"/>
        <v>51.97</v>
      </c>
      <c r="E4527" s="12" t="s">
        <v>8</v>
      </c>
      <c r="F4527" s="9"/>
    </row>
    <row r="4528" s="1" customFormat="1" customHeight="1" spans="1:6">
      <c r="A4528" s="9" t="str">
        <f>"10010115126"</f>
        <v>10010115126</v>
      </c>
      <c r="B4528" s="10">
        <v>57.26</v>
      </c>
      <c r="C4528" s="9"/>
      <c r="D4528" s="9">
        <f t="shared" si="70"/>
        <v>57.26</v>
      </c>
      <c r="E4528" s="11"/>
      <c r="F4528" s="9"/>
    </row>
    <row r="4529" s="1" customFormat="1" customHeight="1" spans="1:6">
      <c r="A4529" s="9" t="str">
        <f>"10130115127"</f>
        <v>10130115127</v>
      </c>
      <c r="B4529" s="10">
        <v>36.95</v>
      </c>
      <c r="C4529" s="9"/>
      <c r="D4529" s="9">
        <f t="shared" si="70"/>
        <v>36.95</v>
      </c>
      <c r="E4529" s="11"/>
      <c r="F4529" s="9"/>
    </row>
    <row r="4530" s="1" customFormat="1" customHeight="1" spans="1:6">
      <c r="A4530" s="9" t="str">
        <f>"10500115128"</f>
        <v>10500115128</v>
      </c>
      <c r="B4530" s="10">
        <v>32.82</v>
      </c>
      <c r="C4530" s="9"/>
      <c r="D4530" s="9">
        <f t="shared" si="70"/>
        <v>32.82</v>
      </c>
      <c r="E4530" s="11"/>
      <c r="F4530" s="9"/>
    </row>
    <row r="4531" s="1" customFormat="1" customHeight="1" spans="1:6">
      <c r="A4531" s="9" t="str">
        <f>"10520115129"</f>
        <v>10520115129</v>
      </c>
      <c r="B4531" s="10">
        <v>0</v>
      </c>
      <c r="C4531" s="9"/>
      <c r="D4531" s="9">
        <f t="shared" si="70"/>
        <v>0</v>
      </c>
      <c r="E4531" s="11"/>
      <c r="F4531" s="9" t="s">
        <v>7</v>
      </c>
    </row>
    <row r="4532" s="1" customFormat="1" customHeight="1" spans="1:6">
      <c r="A4532" s="9" t="str">
        <f>"10360115130"</f>
        <v>10360115130</v>
      </c>
      <c r="B4532" s="10">
        <v>41.42</v>
      </c>
      <c r="C4532" s="9">
        <v>10</v>
      </c>
      <c r="D4532" s="9">
        <f t="shared" si="70"/>
        <v>51.42</v>
      </c>
      <c r="E4532" s="12" t="s">
        <v>8</v>
      </c>
      <c r="F4532" s="9"/>
    </row>
    <row r="4533" s="1" customFormat="1" customHeight="1" spans="1:6">
      <c r="A4533" s="9" t="str">
        <f>"10180115201"</f>
        <v>10180115201</v>
      </c>
      <c r="B4533" s="10">
        <v>47.42</v>
      </c>
      <c r="C4533" s="9"/>
      <c r="D4533" s="9">
        <f t="shared" si="70"/>
        <v>47.42</v>
      </c>
      <c r="E4533" s="11"/>
      <c r="F4533" s="9"/>
    </row>
    <row r="4534" s="1" customFormat="1" customHeight="1" spans="1:6">
      <c r="A4534" s="9" t="str">
        <f>"10360115202"</f>
        <v>10360115202</v>
      </c>
      <c r="B4534" s="10">
        <v>43.03</v>
      </c>
      <c r="C4534" s="9">
        <v>10</v>
      </c>
      <c r="D4534" s="9">
        <f t="shared" si="70"/>
        <v>53.03</v>
      </c>
      <c r="E4534" s="12" t="s">
        <v>8</v>
      </c>
      <c r="F4534" s="9"/>
    </row>
    <row r="4535" s="1" customFormat="1" customHeight="1" spans="1:6">
      <c r="A4535" s="9" t="str">
        <f>"10200115203"</f>
        <v>10200115203</v>
      </c>
      <c r="B4535" s="10">
        <v>39.24</v>
      </c>
      <c r="C4535" s="9"/>
      <c r="D4535" s="9">
        <f t="shared" si="70"/>
        <v>39.24</v>
      </c>
      <c r="E4535" s="11"/>
      <c r="F4535" s="9"/>
    </row>
    <row r="4536" s="1" customFormat="1" customHeight="1" spans="1:6">
      <c r="A4536" s="9" t="str">
        <f>"10360115204"</f>
        <v>10360115204</v>
      </c>
      <c r="B4536" s="10">
        <v>0</v>
      </c>
      <c r="C4536" s="9"/>
      <c r="D4536" s="9">
        <f t="shared" si="70"/>
        <v>0</v>
      </c>
      <c r="E4536" s="11"/>
      <c r="F4536" s="9" t="s">
        <v>7</v>
      </c>
    </row>
    <row r="4537" s="1" customFormat="1" customHeight="1" spans="1:6">
      <c r="A4537" s="9" t="str">
        <f>"10360115205"</f>
        <v>10360115205</v>
      </c>
      <c r="B4537" s="10">
        <v>36.34</v>
      </c>
      <c r="C4537" s="9"/>
      <c r="D4537" s="9">
        <f t="shared" si="70"/>
        <v>36.34</v>
      </c>
      <c r="E4537" s="11"/>
      <c r="F4537" s="9"/>
    </row>
    <row r="4538" s="1" customFormat="1" customHeight="1" spans="1:6">
      <c r="A4538" s="9" t="str">
        <f>"10530115206"</f>
        <v>10530115206</v>
      </c>
      <c r="B4538" s="10">
        <v>38.25</v>
      </c>
      <c r="C4538" s="9"/>
      <c r="D4538" s="9">
        <f t="shared" si="70"/>
        <v>38.25</v>
      </c>
      <c r="E4538" s="11"/>
      <c r="F4538" s="9"/>
    </row>
    <row r="4539" s="1" customFormat="1" customHeight="1" spans="1:6">
      <c r="A4539" s="9" t="str">
        <f>"10110115207"</f>
        <v>10110115207</v>
      </c>
      <c r="B4539" s="10">
        <v>45.11</v>
      </c>
      <c r="C4539" s="9"/>
      <c r="D4539" s="9">
        <f t="shared" si="70"/>
        <v>45.11</v>
      </c>
      <c r="E4539" s="11"/>
      <c r="F4539" s="9"/>
    </row>
    <row r="4540" s="1" customFormat="1" customHeight="1" spans="1:6">
      <c r="A4540" s="9" t="str">
        <f>"10080115208"</f>
        <v>10080115208</v>
      </c>
      <c r="B4540" s="10">
        <v>0</v>
      </c>
      <c r="C4540" s="9"/>
      <c r="D4540" s="9">
        <f t="shared" si="70"/>
        <v>0</v>
      </c>
      <c r="E4540" s="11"/>
      <c r="F4540" s="9" t="s">
        <v>7</v>
      </c>
    </row>
    <row r="4541" s="1" customFormat="1" customHeight="1" spans="1:6">
      <c r="A4541" s="9" t="str">
        <f>"10500115209"</f>
        <v>10500115209</v>
      </c>
      <c r="B4541" s="10">
        <v>30.79</v>
      </c>
      <c r="C4541" s="9"/>
      <c r="D4541" s="9">
        <f t="shared" si="70"/>
        <v>30.79</v>
      </c>
      <c r="E4541" s="11"/>
      <c r="F4541" s="9"/>
    </row>
    <row r="4542" s="1" customFormat="1" customHeight="1" spans="1:6">
      <c r="A4542" s="9" t="str">
        <f>"10100115210"</f>
        <v>10100115210</v>
      </c>
      <c r="B4542" s="10">
        <v>38.17</v>
      </c>
      <c r="C4542" s="9"/>
      <c r="D4542" s="9">
        <f t="shared" si="70"/>
        <v>38.17</v>
      </c>
      <c r="E4542" s="11"/>
      <c r="F4542" s="9"/>
    </row>
    <row r="4543" s="1" customFormat="1" customHeight="1" spans="1:6">
      <c r="A4543" s="9" t="str">
        <f>"10360115211"</f>
        <v>10360115211</v>
      </c>
      <c r="B4543" s="10">
        <v>0</v>
      </c>
      <c r="C4543" s="9"/>
      <c r="D4543" s="9">
        <f t="shared" si="70"/>
        <v>0</v>
      </c>
      <c r="E4543" s="11"/>
      <c r="F4543" s="9" t="s">
        <v>7</v>
      </c>
    </row>
    <row r="4544" s="1" customFormat="1" customHeight="1" spans="1:6">
      <c r="A4544" s="9" t="str">
        <f>"10360115212"</f>
        <v>10360115212</v>
      </c>
      <c r="B4544" s="10">
        <v>38.5</v>
      </c>
      <c r="C4544" s="9"/>
      <c r="D4544" s="9">
        <f t="shared" si="70"/>
        <v>38.5</v>
      </c>
      <c r="E4544" s="11"/>
      <c r="F4544" s="9"/>
    </row>
    <row r="4545" s="1" customFormat="1" customHeight="1" spans="1:6">
      <c r="A4545" s="9" t="str">
        <f>"10040115213"</f>
        <v>10040115213</v>
      </c>
      <c r="B4545" s="10">
        <v>35.15</v>
      </c>
      <c r="C4545" s="9"/>
      <c r="D4545" s="9">
        <f t="shared" si="70"/>
        <v>35.15</v>
      </c>
      <c r="E4545" s="11"/>
      <c r="F4545" s="9"/>
    </row>
    <row r="4546" s="1" customFormat="1" customHeight="1" spans="1:6">
      <c r="A4546" s="9" t="str">
        <f>"10100115214"</f>
        <v>10100115214</v>
      </c>
      <c r="B4546" s="10">
        <v>41.9</v>
      </c>
      <c r="C4546" s="9"/>
      <c r="D4546" s="9">
        <f t="shared" si="70"/>
        <v>41.9</v>
      </c>
      <c r="E4546" s="11"/>
      <c r="F4546" s="9"/>
    </row>
    <row r="4547" s="1" customFormat="1" customHeight="1" spans="1:6">
      <c r="A4547" s="9" t="str">
        <f>"10110115215"</f>
        <v>10110115215</v>
      </c>
      <c r="B4547" s="10">
        <v>49.62</v>
      </c>
      <c r="C4547" s="9"/>
      <c r="D4547" s="9">
        <f t="shared" ref="D4547:D4610" si="71">SUM(B4547:C4547)</f>
        <v>49.62</v>
      </c>
      <c r="E4547" s="11"/>
      <c r="F4547" s="9"/>
    </row>
    <row r="4548" s="1" customFormat="1" customHeight="1" spans="1:6">
      <c r="A4548" s="9" t="str">
        <f>"10330115216"</f>
        <v>10330115216</v>
      </c>
      <c r="B4548" s="10">
        <v>0</v>
      </c>
      <c r="C4548" s="9"/>
      <c r="D4548" s="9">
        <f t="shared" si="71"/>
        <v>0</v>
      </c>
      <c r="E4548" s="11"/>
      <c r="F4548" s="9" t="s">
        <v>7</v>
      </c>
    </row>
    <row r="4549" s="1" customFormat="1" customHeight="1" spans="1:6">
      <c r="A4549" s="9" t="str">
        <f>"10440115217"</f>
        <v>10440115217</v>
      </c>
      <c r="B4549" s="10">
        <v>0</v>
      </c>
      <c r="C4549" s="9"/>
      <c r="D4549" s="9">
        <f t="shared" si="71"/>
        <v>0</v>
      </c>
      <c r="E4549" s="11"/>
      <c r="F4549" s="9" t="s">
        <v>7</v>
      </c>
    </row>
    <row r="4550" s="1" customFormat="1" customHeight="1" spans="1:6">
      <c r="A4550" s="9" t="str">
        <f>"10360115218"</f>
        <v>10360115218</v>
      </c>
      <c r="B4550" s="10">
        <v>0</v>
      </c>
      <c r="C4550" s="9"/>
      <c r="D4550" s="9">
        <f t="shared" si="71"/>
        <v>0</v>
      </c>
      <c r="E4550" s="11"/>
      <c r="F4550" s="9" t="s">
        <v>7</v>
      </c>
    </row>
    <row r="4551" s="1" customFormat="1" customHeight="1" spans="1:6">
      <c r="A4551" s="9" t="str">
        <f>"20270115219"</f>
        <v>20270115219</v>
      </c>
      <c r="B4551" s="10">
        <v>35.82</v>
      </c>
      <c r="C4551" s="9"/>
      <c r="D4551" s="9">
        <f t="shared" si="71"/>
        <v>35.82</v>
      </c>
      <c r="E4551" s="11"/>
      <c r="F4551" s="9"/>
    </row>
    <row r="4552" s="1" customFormat="1" customHeight="1" spans="1:6">
      <c r="A4552" s="9" t="str">
        <f>"10360115220"</f>
        <v>10360115220</v>
      </c>
      <c r="B4552" s="10">
        <v>37.92</v>
      </c>
      <c r="C4552" s="9"/>
      <c r="D4552" s="9">
        <f t="shared" si="71"/>
        <v>37.92</v>
      </c>
      <c r="E4552" s="11"/>
      <c r="F4552" s="9"/>
    </row>
    <row r="4553" s="1" customFormat="1" customHeight="1" spans="1:6">
      <c r="A4553" s="9" t="str">
        <f>"10360115221"</f>
        <v>10360115221</v>
      </c>
      <c r="B4553" s="10">
        <v>47.36</v>
      </c>
      <c r="C4553" s="9"/>
      <c r="D4553" s="9">
        <f t="shared" si="71"/>
        <v>47.36</v>
      </c>
      <c r="E4553" s="11"/>
      <c r="F4553" s="9"/>
    </row>
    <row r="4554" s="1" customFormat="1" customHeight="1" spans="1:6">
      <c r="A4554" s="9" t="str">
        <f>"10510115222"</f>
        <v>10510115222</v>
      </c>
      <c r="B4554" s="10">
        <v>52.95</v>
      </c>
      <c r="C4554" s="9"/>
      <c r="D4554" s="9">
        <f t="shared" si="71"/>
        <v>52.95</v>
      </c>
      <c r="E4554" s="11"/>
      <c r="F4554" s="9"/>
    </row>
    <row r="4555" s="1" customFormat="1" customHeight="1" spans="1:6">
      <c r="A4555" s="9" t="str">
        <f>"10140115223"</f>
        <v>10140115223</v>
      </c>
      <c r="B4555" s="10">
        <v>40.6</v>
      </c>
      <c r="C4555" s="9"/>
      <c r="D4555" s="9">
        <f t="shared" si="71"/>
        <v>40.6</v>
      </c>
      <c r="E4555" s="11"/>
      <c r="F4555" s="9"/>
    </row>
    <row r="4556" s="1" customFormat="1" customHeight="1" spans="1:6">
      <c r="A4556" s="9" t="str">
        <f>"10040115224"</f>
        <v>10040115224</v>
      </c>
      <c r="B4556" s="10">
        <v>33.22</v>
      </c>
      <c r="C4556" s="9"/>
      <c r="D4556" s="9">
        <f t="shared" si="71"/>
        <v>33.22</v>
      </c>
      <c r="E4556" s="11"/>
      <c r="F4556" s="9"/>
    </row>
    <row r="4557" s="1" customFormat="1" customHeight="1" spans="1:6">
      <c r="A4557" s="9" t="str">
        <f>"10520115225"</f>
        <v>10520115225</v>
      </c>
      <c r="B4557" s="10">
        <v>0</v>
      </c>
      <c r="C4557" s="9"/>
      <c r="D4557" s="9">
        <f t="shared" si="71"/>
        <v>0</v>
      </c>
      <c r="E4557" s="11"/>
      <c r="F4557" s="9" t="s">
        <v>7</v>
      </c>
    </row>
    <row r="4558" s="1" customFormat="1" customHeight="1" spans="1:6">
      <c r="A4558" s="9" t="str">
        <f>"10440115226"</f>
        <v>10440115226</v>
      </c>
      <c r="B4558" s="10">
        <v>27.35</v>
      </c>
      <c r="C4558" s="9"/>
      <c r="D4558" s="9">
        <f t="shared" si="71"/>
        <v>27.35</v>
      </c>
      <c r="E4558" s="11"/>
      <c r="F4558" s="9"/>
    </row>
    <row r="4559" s="1" customFormat="1" customHeight="1" spans="1:6">
      <c r="A4559" s="9" t="str">
        <f>"10320115227"</f>
        <v>10320115227</v>
      </c>
      <c r="B4559" s="10">
        <v>0</v>
      </c>
      <c r="C4559" s="9"/>
      <c r="D4559" s="9">
        <f t="shared" si="71"/>
        <v>0</v>
      </c>
      <c r="E4559" s="11"/>
      <c r="F4559" s="9" t="s">
        <v>7</v>
      </c>
    </row>
    <row r="4560" s="1" customFormat="1" customHeight="1" spans="1:6">
      <c r="A4560" s="9" t="str">
        <f>"10330115228"</f>
        <v>10330115228</v>
      </c>
      <c r="B4560" s="10">
        <v>0</v>
      </c>
      <c r="C4560" s="9"/>
      <c r="D4560" s="9">
        <f t="shared" si="71"/>
        <v>0</v>
      </c>
      <c r="E4560" s="11"/>
      <c r="F4560" s="9" t="s">
        <v>7</v>
      </c>
    </row>
    <row r="4561" s="1" customFormat="1" customHeight="1" spans="1:6">
      <c r="A4561" s="9" t="str">
        <f>"10150115229"</f>
        <v>10150115229</v>
      </c>
      <c r="B4561" s="10">
        <v>0</v>
      </c>
      <c r="C4561" s="9"/>
      <c r="D4561" s="9">
        <f t="shared" si="71"/>
        <v>0</v>
      </c>
      <c r="E4561" s="11"/>
      <c r="F4561" s="9" t="s">
        <v>7</v>
      </c>
    </row>
    <row r="4562" s="1" customFormat="1" customHeight="1" spans="1:6">
      <c r="A4562" s="9" t="str">
        <f>"10360115230"</f>
        <v>10360115230</v>
      </c>
      <c r="B4562" s="10">
        <v>0</v>
      </c>
      <c r="C4562" s="9"/>
      <c r="D4562" s="9">
        <f t="shared" si="71"/>
        <v>0</v>
      </c>
      <c r="E4562" s="11"/>
      <c r="F4562" s="9" t="s">
        <v>7</v>
      </c>
    </row>
    <row r="4563" s="1" customFormat="1" customHeight="1" spans="1:6">
      <c r="A4563" s="9" t="str">
        <f>"10360115301"</f>
        <v>10360115301</v>
      </c>
      <c r="B4563" s="10">
        <v>47</v>
      </c>
      <c r="C4563" s="9"/>
      <c r="D4563" s="9">
        <f t="shared" si="71"/>
        <v>47</v>
      </c>
      <c r="E4563" s="11"/>
      <c r="F4563" s="9"/>
    </row>
    <row r="4564" s="1" customFormat="1" customHeight="1" spans="1:6">
      <c r="A4564" s="9" t="str">
        <f>"10360115302"</f>
        <v>10360115302</v>
      </c>
      <c r="B4564" s="10">
        <v>39.06</v>
      </c>
      <c r="C4564" s="9"/>
      <c r="D4564" s="9">
        <f t="shared" si="71"/>
        <v>39.06</v>
      </c>
      <c r="E4564" s="11"/>
      <c r="F4564" s="9"/>
    </row>
    <row r="4565" s="1" customFormat="1" customHeight="1" spans="1:6">
      <c r="A4565" s="9" t="str">
        <f>"10330115303"</f>
        <v>10330115303</v>
      </c>
      <c r="B4565" s="10">
        <v>41.8</v>
      </c>
      <c r="C4565" s="9"/>
      <c r="D4565" s="9">
        <f t="shared" si="71"/>
        <v>41.8</v>
      </c>
      <c r="E4565" s="11"/>
      <c r="F4565" s="9"/>
    </row>
    <row r="4566" s="1" customFormat="1" customHeight="1" spans="1:6">
      <c r="A4566" s="9" t="str">
        <f>"10210115304"</f>
        <v>10210115304</v>
      </c>
      <c r="B4566" s="10">
        <v>39.83</v>
      </c>
      <c r="C4566" s="9"/>
      <c r="D4566" s="9">
        <f t="shared" si="71"/>
        <v>39.83</v>
      </c>
      <c r="E4566" s="11"/>
      <c r="F4566" s="9"/>
    </row>
    <row r="4567" s="1" customFormat="1" customHeight="1" spans="1:6">
      <c r="A4567" s="9" t="str">
        <f>"10190115305"</f>
        <v>10190115305</v>
      </c>
      <c r="B4567" s="10">
        <v>41.35</v>
      </c>
      <c r="C4567" s="9"/>
      <c r="D4567" s="9">
        <f t="shared" si="71"/>
        <v>41.35</v>
      </c>
      <c r="E4567" s="11"/>
      <c r="F4567" s="9"/>
    </row>
    <row r="4568" s="1" customFormat="1" customHeight="1" spans="1:6">
      <c r="A4568" s="9" t="str">
        <f>"10530115306"</f>
        <v>10530115306</v>
      </c>
      <c r="B4568" s="10">
        <v>31.99</v>
      </c>
      <c r="C4568" s="9"/>
      <c r="D4568" s="9">
        <f t="shared" si="71"/>
        <v>31.99</v>
      </c>
      <c r="E4568" s="11"/>
      <c r="F4568" s="9"/>
    </row>
    <row r="4569" s="1" customFormat="1" customHeight="1" spans="1:6">
      <c r="A4569" s="9" t="str">
        <f>"10360115307"</f>
        <v>10360115307</v>
      </c>
      <c r="B4569" s="10">
        <v>36.19</v>
      </c>
      <c r="C4569" s="9"/>
      <c r="D4569" s="9">
        <f t="shared" si="71"/>
        <v>36.19</v>
      </c>
      <c r="E4569" s="11"/>
      <c r="F4569" s="9"/>
    </row>
    <row r="4570" s="1" customFormat="1" customHeight="1" spans="1:6">
      <c r="A4570" s="9" t="str">
        <f>"10410115308"</f>
        <v>10410115308</v>
      </c>
      <c r="B4570" s="10">
        <v>46.65</v>
      </c>
      <c r="C4570" s="9"/>
      <c r="D4570" s="9">
        <f t="shared" si="71"/>
        <v>46.65</v>
      </c>
      <c r="E4570" s="11"/>
      <c r="F4570" s="9"/>
    </row>
    <row r="4571" s="1" customFormat="1" customHeight="1" spans="1:6">
      <c r="A4571" s="9" t="str">
        <f>"20270115309"</f>
        <v>20270115309</v>
      </c>
      <c r="B4571" s="10">
        <v>52.54</v>
      </c>
      <c r="C4571" s="9"/>
      <c r="D4571" s="9">
        <f t="shared" si="71"/>
        <v>52.54</v>
      </c>
      <c r="E4571" s="11"/>
      <c r="F4571" s="9"/>
    </row>
    <row r="4572" s="1" customFormat="1" customHeight="1" spans="1:6">
      <c r="A4572" s="9" t="str">
        <f>"10280115310"</f>
        <v>10280115310</v>
      </c>
      <c r="B4572" s="10">
        <v>0</v>
      </c>
      <c r="C4572" s="9"/>
      <c r="D4572" s="9">
        <f t="shared" si="71"/>
        <v>0</v>
      </c>
      <c r="E4572" s="11"/>
      <c r="F4572" s="9" t="s">
        <v>7</v>
      </c>
    </row>
    <row r="4573" s="1" customFormat="1" customHeight="1" spans="1:6">
      <c r="A4573" s="9" t="str">
        <f>"10360115311"</f>
        <v>10360115311</v>
      </c>
      <c r="B4573" s="10">
        <v>37.54</v>
      </c>
      <c r="C4573" s="9"/>
      <c r="D4573" s="9">
        <f t="shared" si="71"/>
        <v>37.54</v>
      </c>
      <c r="E4573" s="11"/>
      <c r="F4573" s="9"/>
    </row>
    <row r="4574" s="1" customFormat="1" customHeight="1" spans="1:6">
      <c r="A4574" s="9" t="str">
        <f>"10350115312"</f>
        <v>10350115312</v>
      </c>
      <c r="B4574" s="10">
        <v>0</v>
      </c>
      <c r="C4574" s="9"/>
      <c r="D4574" s="9">
        <f t="shared" si="71"/>
        <v>0</v>
      </c>
      <c r="E4574" s="11"/>
      <c r="F4574" s="9" t="s">
        <v>7</v>
      </c>
    </row>
    <row r="4575" s="1" customFormat="1" customHeight="1" spans="1:6">
      <c r="A4575" s="9" t="str">
        <f>"10360115313"</f>
        <v>10360115313</v>
      </c>
      <c r="B4575" s="10">
        <v>35.27</v>
      </c>
      <c r="C4575" s="9"/>
      <c r="D4575" s="9">
        <f t="shared" si="71"/>
        <v>35.27</v>
      </c>
      <c r="E4575" s="11"/>
      <c r="F4575" s="9"/>
    </row>
    <row r="4576" s="1" customFormat="1" customHeight="1" spans="1:6">
      <c r="A4576" s="9" t="str">
        <f>"10360115314"</f>
        <v>10360115314</v>
      </c>
      <c r="B4576" s="10">
        <v>30.87</v>
      </c>
      <c r="C4576" s="9"/>
      <c r="D4576" s="9">
        <f t="shared" si="71"/>
        <v>30.87</v>
      </c>
      <c r="E4576" s="11"/>
      <c r="F4576" s="9"/>
    </row>
    <row r="4577" s="1" customFormat="1" customHeight="1" spans="1:6">
      <c r="A4577" s="9" t="str">
        <f>"10360115315"</f>
        <v>10360115315</v>
      </c>
      <c r="B4577" s="10">
        <v>36.18</v>
      </c>
      <c r="C4577" s="9"/>
      <c r="D4577" s="9">
        <f t="shared" si="71"/>
        <v>36.18</v>
      </c>
      <c r="E4577" s="11"/>
      <c r="F4577" s="9"/>
    </row>
    <row r="4578" s="1" customFormat="1" customHeight="1" spans="1:6">
      <c r="A4578" s="9" t="str">
        <f>"10360115316"</f>
        <v>10360115316</v>
      </c>
      <c r="B4578" s="10">
        <v>32.52</v>
      </c>
      <c r="C4578" s="9"/>
      <c r="D4578" s="9">
        <f t="shared" si="71"/>
        <v>32.52</v>
      </c>
      <c r="E4578" s="11"/>
      <c r="F4578" s="9"/>
    </row>
    <row r="4579" s="1" customFormat="1" customHeight="1" spans="1:6">
      <c r="A4579" s="9" t="str">
        <f>"10100115317"</f>
        <v>10100115317</v>
      </c>
      <c r="B4579" s="10">
        <v>0</v>
      </c>
      <c r="C4579" s="9"/>
      <c r="D4579" s="9">
        <f t="shared" si="71"/>
        <v>0</v>
      </c>
      <c r="E4579" s="11"/>
      <c r="F4579" s="9" t="s">
        <v>7</v>
      </c>
    </row>
    <row r="4580" s="1" customFormat="1" customHeight="1" spans="1:6">
      <c r="A4580" s="9" t="str">
        <f>"10060115318"</f>
        <v>10060115318</v>
      </c>
      <c r="B4580" s="10">
        <v>30.83</v>
      </c>
      <c r="C4580" s="9"/>
      <c r="D4580" s="9">
        <f t="shared" si="71"/>
        <v>30.83</v>
      </c>
      <c r="E4580" s="11"/>
      <c r="F4580" s="9"/>
    </row>
    <row r="4581" s="1" customFormat="1" customHeight="1" spans="1:6">
      <c r="A4581" s="9" t="str">
        <f>"10310115319"</f>
        <v>10310115319</v>
      </c>
      <c r="B4581" s="10">
        <v>49.86</v>
      </c>
      <c r="C4581" s="9"/>
      <c r="D4581" s="9">
        <f t="shared" si="71"/>
        <v>49.86</v>
      </c>
      <c r="E4581" s="11"/>
      <c r="F4581" s="9"/>
    </row>
    <row r="4582" s="1" customFormat="1" customHeight="1" spans="1:6">
      <c r="A4582" s="9" t="str">
        <f>"10170115320"</f>
        <v>10170115320</v>
      </c>
      <c r="B4582" s="10">
        <v>46.71</v>
      </c>
      <c r="C4582" s="9"/>
      <c r="D4582" s="9">
        <f t="shared" si="71"/>
        <v>46.71</v>
      </c>
      <c r="E4582" s="11"/>
      <c r="F4582" s="9"/>
    </row>
    <row r="4583" s="1" customFormat="1" customHeight="1" spans="1:6">
      <c r="A4583" s="9" t="str">
        <f>"10020115321"</f>
        <v>10020115321</v>
      </c>
      <c r="B4583" s="10">
        <v>33.13</v>
      </c>
      <c r="C4583" s="9"/>
      <c r="D4583" s="9">
        <f t="shared" si="71"/>
        <v>33.13</v>
      </c>
      <c r="E4583" s="11"/>
      <c r="F4583" s="9"/>
    </row>
    <row r="4584" s="1" customFormat="1" customHeight="1" spans="1:6">
      <c r="A4584" s="9" t="str">
        <f>"10070115322"</f>
        <v>10070115322</v>
      </c>
      <c r="B4584" s="10">
        <v>44.59</v>
      </c>
      <c r="C4584" s="9"/>
      <c r="D4584" s="9">
        <f t="shared" si="71"/>
        <v>44.59</v>
      </c>
      <c r="E4584" s="11"/>
      <c r="F4584" s="9"/>
    </row>
    <row r="4585" s="1" customFormat="1" customHeight="1" spans="1:6">
      <c r="A4585" s="9" t="str">
        <f>"10430115323"</f>
        <v>10430115323</v>
      </c>
      <c r="B4585" s="10">
        <v>35.59</v>
      </c>
      <c r="C4585" s="9"/>
      <c r="D4585" s="9">
        <f t="shared" si="71"/>
        <v>35.59</v>
      </c>
      <c r="E4585" s="11"/>
      <c r="F4585" s="9"/>
    </row>
    <row r="4586" s="1" customFormat="1" customHeight="1" spans="1:6">
      <c r="A4586" s="9" t="str">
        <f>"10050115324"</f>
        <v>10050115324</v>
      </c>
      <c r="B4586" s="10">
        <v>34.07</v>
      </c>
      <c r="C4586" s="9"/>
      <c r="D4586" s="9">
        <f t="shared" si="71"/>
        <v>34.07</v>
      </c>
      <c r="E4586" s="11"/>
      <c r="F4586" s="9"/>
    </row>
    <row r="4587" s="1" customFormat="1" customHeight="1" spans="1:6">
      <c r="A4587" s="9" t="str">
        <f>"10360115325"</f>
        <v>10360115325</v>
      </c>
      <c r="B4587" s="10">
        <v>35.04</v>
      </c>
      <c r="C4587" s="9"/>
      <c r="D4587" s="9">
        <f t="shared" si="71"/>
        <v>35.04</v>
      </c>
      <c r="E4587" s="11"/>
      <c r="F4587" s="9"/>
    </row>
    <row r="4588" s="1" customFormat="1" customHeight="1" spans="1:6">
      <c r="A4588" s="9" t="str">
        <f>"10080115326"</f>
        <v>10080115326</v>
      </c>
      <c r="B4588" s="10">
        <v>41.51</v>
      </c>
      <c r="C4588" s="9"/>
      <c r="D4588" s="9">
        <f t="shared" si="71"/>
        <v>41.51</v>
      </c>
      <c r="E4588" s="11"/>
      <c r="F4588" s="9"/>
    </row>
    <row r="4589" s="1" customFormat="1" customHeight="1" spans="1:6">
      <c r="A4589" s="9" t="str">
        <f>"10300115327"</f>
        <v>10300115327</v>
      </c>
      <c r="B4589" s="10">
        <v>33.63</v>
      </c>
      <c r="C4589" s="9"/>
      <c r="D4589" s="9">
        <f t="shared" si="71"/>
        <v>33.63</v>
      </c>
      <c r="E4589" s="11"/>
      <c r="F4589" s="9"/>
    </row>
    <row r="4590" s="1" customFormat="1" customHeight="1" spans="1:6">
      <c r="A4590" s="9" t="str">
        <f>"10360115328"</f>
        <v>10360115328</v>
      </c>
      <c r="B4590" s="10">
        <v>38.52</v>
      </c>
      <c r="C4590" s="9"/>
      <c r="D4590" s="9">
        <f t="shared" si="71"/>
        <v>38.52</v>
      </c>
      <c r="E4590" s="11"/>
      <c r="F4590" s="9"/>
    </row>
    <row r="4591" s="1" customFormat="1" customHeight="1" spans="1:6">
      <c r="A4591" s="9" t="str">
        <f>"10340115329"</f>
        <v>10340115329</v>
      </c>
      <c r="B4591" s="10">
        <v>43.48</v>
      </c>
      <c r="C4591" s="9"/>
      <c r="D4591" s="9">
        <f t="shared" si="71"/>
        <v>43.48</v>
      </c>
      <c r="E4591" s="11"/>
      <c r="F4591" s="9"/>
    </row>
    <row r="4592" s="1" customFormat="1" customHeight="1" spans="1:6">
      <c r="A4592" s="9" t="str">
        <f>"10360115330"</f>
        <v>10360115330</v>
      </c>
      <c r="B4592" s="10">
        <v>40.37</v>
      </c>
      <c r="C4592" s="9"/>
      <c r="D4592" s="9">
        <f t="shared" si="71"/>
        <v>40.37</v>
      </c>
      <c r="E4592" s="11"/>
      <c r="F4592" s="9"/>
    </row>
    <row r="4593" s="1" customFormat="1" customHeight="1" spans="1:6">
      <c r="A4593" s="9" t="str">
        <f>"10360115401"</f>
        <v>10360115401</v>
      </c>
      <c r="B4593" s="10">
        <v>36.11</v>
      </c>
      <c r="C4593" s="9"/>
      <c r="D4593" s="9">
        <f t="shared" si="71"/>
        <v>36.11</v>
      </c>
      <c r="E4593" s="11"/>
      <c r="F4593" s="9"/>
    </row>
    <row r="4594" s="1" customFormat="1" customHeight="1" spans="1:6">
      <c r="A4594" s="9" t="str">
        <f>"10360115402"</f>
        <v>10360115402</v>
      </c>
      <c r="B4594" s="10">
        <v>0</v>
      </c>
      <c r="C4594" s="9"/>
      <c r="D4594" s="9">
        <f t="shared" si="71"/>
        <v>0</v>
      </c>
      <c r="E4594" s="11"/>
      <c r="F4594" s="9" t="s">
        <v>7</v>
      </c>
    </row>
    <row r="4595" s="1" customFormat="1" customHeight="1" spans="1:6">
      <c r="A4595" s="9" t="str">
        <f>"20270115403"</f>
        <v>20270115403</v>
      </c>
      <c r="B4595" s="10">
        <v>51.52</v>
      </c>
      <c r="C4595" s="9"/>
      <c r="D4595" s="9">
        <f t="shared" si="71"/>
        <v>51.52</v>
      </c>
      <c r="E4595" s="11"/>
      <c r="F4595" s="9"/>
    </row>
    <row r="4596" s="1" customFormat="1" customHeight="1" spans="1:6">
      <c r="A4596" s="9" t="str">
        <f>"10300115404"</f>
        <v>10300115404</v>
      </c>
      <c r="B4596" s="10">
        <v>39.51</v>
      </c>
      <c r="C4596" s="9"/>
      <c r="D4596" s="9">
        <f t="shared" si="71"/>
        <v>39.51</v>
      </c>
      <c r="E4596" s="11"/>
      <c r="F4596" s="9"/>
    </row>
    <row r="4597" s="1" customFormat="1" customHeight="1" spans="1:6">
      <c r="A4597" s="9" t="str">
        <f>"10300115405"</f>
        <v>10300115405</v>
      </c>
      <c r="B4597" s="10">
        <v>48.07</v>
      </c>
      <c r="C4597" s="9"/>
      <c r="D4597" s="9">
        <f t="shared" si="71"/>
        <v>48.07</v>
      </c>
      <c r="E4597" s="11"/>
      <c r="F4597" s="9"/>
    </row>
    <row r="4598" s="1" customFormat="1" customHeight="1" spans="1:6">
      <c r="A4598" s="9" t="str">
        <f>"10360115406"</f>
        <v>10360115406</v>
      </c>
      <c r="B4598" s="10">
        <v>34.99</v>
      </c>
      <c r="C4598" s="9"/>
      <c r="D4598" s="9">
        <f t="shared" si="71"/>
        <v>34.99</v>
      </c>
      <c r="E4598" s="11"/>
      <c r="F4598" s="9"/>
    </row>
    <row r="4599" s="1" customFormat="1" customHeight="1" spans="1:6">
      <c r="A4599" s="9" t="str">
        <f>"10500115407"</f>
        <v>10500115407</v>
      </c>
      <c r="B4599" s="10">
        <v>39.76</v>
      </c>
      <c r="C4599" s="9"/>
      <c r="D4599" s="9">
        <f t="shared" si="71"/>
        <v>39.76</v>
      </c>
      <c r="E4599" s="11"/>
      <c r="F4599" s="9"/>
    </row>
    <row r="4600" s="1" customFormat="1" customHeight="1" spans="1:6">
      <c r="A4600" s="9" t="str">
        <f>"10360115408"</f>
        <v>10360115408</v>
      </c>
      <c r="B4600" s="10">
        <v>0</v>
      </c>
      <c r="C4600" s="9"/>
      <c r="D4600" s="9">
        <f t="shared" si="71"/>
        <v>0</v>
      </c>
      <c r="E4600" s="11"/>
      <c r="F4600" s="9" t="s">
        <v>7</v>
      </c>
    </row>
    <row r="4601" s="1" customFormat="1" customHeight="1" spans="1:6">
      <c r="A4601" s="9" t="str">
        <f>"10330115409"</f>
        <v>10330115409</v>
      </c>
      <c r="B4601" s="10">
        <v>0</v>
      </c>
      <c r="C4601" s="9"/>
      <c r="D4601" s="9">
        <f t="shared" si="71"/>
        <v>0</v>
      </c>
      <c r="E4601" s="11"/>
      <c r="F4601" s="9" t="s">
        <v>7</v>
      </c>
    </row>
    <row r="4602" s="1" customFormat="1" customHeight="1" spans="1:6">
      <c r="A4602" s="9" t="str">
        <f>"10360115410"</f>
        <v>10360115410</v>
      </c>
      <c r="B4602" s="10">
        <v>0</v>
      </c>
      <c r="C4602" s="9"/>
      <c r="D4602" s="9">
        <f t="shared" si="71"/>
        <v>0</v>
      </c>
      <c r="E4602" s="11"/>
      <c r="F4602" s="9" t="s">
        <v>7</v>
      </c>
    </row>
    <row r="4603" s="1" customFormat="1" customHeight="1" spans="1:6">
      <c r="A4603" s="9" t="str">
        <f>"10360115411"</f>
        <v>10360115411</v>
      </c>
      <c r="B4603" s="10">
        <v>0</v>
      </c>
      <c r="C4603" s="9"/>
      <c r="D4603" s="9">
        <f t="shared" si="71"/>
        <v>0</v>
      </c>
      <c r="E4603" s="11"/>
      <c r="F4603" s="9" t="s">
        <v>7</v>
      </c>
    </row>
    <row r="4604" s="1" customFormat="1" customHeight="1" spans="1:6">
      <c r="A4604" s="9" t="str">
        <f>"10440115412"</f>
        <v>10440115412</v>
      </c>
      <c r="B4604" s="10">
        <v>32.7</v>
      </c>
      <c r="C4604" s="9"/>
      <c r="D4604" s="9">
        <f t="shared" si="71"/>
        <v>32.7</v>
      </c>
      <c r="E4604" s="11"/>
      <c r="F4604" s="9"/>
    </row>
    <row r="4605" s="1" customFormat="1" customHeight="1" spans="1:6">
      <c r="A4605" s="9" t="str">
        <f>"10170115413"</f>
        <v>10170115413</v>
      </c>
      <c r="B4605" s="10">
        <v>39.1</v>
      </c>
      <c r="C4605" s="9"/>
      <c r="D4605" s="9">
        <f t="shared" si="71"/>
        <v>39.1</v>
      </c>
      <c r="E4605" s="11"/>
      <c r="F4605" s="9"/>
    </row>
    <row r="4606" s="1" customFormat="1" customHeight="1" spans="1:6">
      <c r="A4606" s="9" t="str">
        <f>"10330115414"</f>
        <v>10330115414</v>
      </c>
      <c r="B4606" s="10">
        <v>0</v>
      </c>
      <c r="C4606" s="9"/>
      <c r="D4606" s="9">
        <f t="shared" si="71"/>
        <v>0</v>
      </c>
      <c r="E4606" s="11"/>
      <c r="F4606" s="9" t="s">
        <v>7</v>
      </c>
    </row>
    <row r="4607" s="1" customFormat="1" customHeight="1" spans="1:6">
      <c r="A4607" s="9" t="str">
        <f>"10070115415"</f>
        <v>10070115415</v>
      </c>
      <c r="B4607" s="10">
        <v>47.45</v>
      </c>
      <c r="C4607" s="9"/>
      <c r="D4607" s="9">
        <f t="shared" si="71"/>
        <v>47.45</v>
      </c>
      <c r="E4607" s="11"/>
      <c r="F4607" s="9"/>
    </row>
    <row r="4608" s="1" customFormat="1" customHeight="1" spans="1:6">
      <c r="A4608" s="9" t="str">
        <f>"10300115416"</f>
        <v>10300115416</v>
      </c>
      <c r="B4608" s="10">
        <v>0</v>
      </c>
      <c r="C4608" s="9"/>
      <c r="D4608" s="9">
        <f t="shared" si="71"/>
        <v>0</v>
      </c>
      <c r="E4608" s="11"/>
      <c r="F4608" s="9" t="s">
        <v>7</v>
      </c>
    </row>
    <row r="4609" s="1" customFormat="1" customHeight="1" spans="1:6">
      <c r="A4609" s="9" t="str">
        <f>"10370115417"</f>
        <v>10370115417</v>
      </c>
      <c r="B4609" s="10">
        <v>42.47</v>
      </c>
      <c r="C4609" s="9">
        <v>10</v>
      </c>
      <c r="D4609" s="9">
        <f t="shared" si="71"/>
        <v>52.47</v>
      </c>
      <c r="E4609" s="12" t="s">
        <v>8</v>
      </c>
      <c r="F4609" s="9"/>
    </row>
    <row r="4610" s="1" customFormat="1" customHeight="1" spans="1:6">
      <c r="A4610" s="9" t="str">
        <f>"10300115418"</f>
        <v>10300115418</v>
      </c>
      <c r="B4610" s="10">
        <v>0</v>
      </c>
      <c r="C4610" s="9"/>
      <c r="D4610" s="9">
        <f t="shared" si="71"/>
        <v>0</v>
      </c>
      <c r="E4610" s="11"/>
      <c r="F4610" s="9" t="s">
        <v>7</v>
      </c>
    </row>
    <row r="4611" s="1" customFormat="1" customHeight="1" spans="1:6">
      <c r="A4611" s="9" t="str">
        <f>"10380115419"</f>
        <v>10380115419</v>
      </c>
      <c r="B4611" s="10">
        <v>0</v>
      </c>
      <c r="C4611" s="9"/>
      <c r="D4611" s="9">
        <f t="shared" ref="D4611:D4674" si="72">SUM(B4611:C4611)</f>
        <v>0</v>
      </c>
      <c r="E4611" s="11"/>
      <c r="F4611" s="9" t="s">
        <v>7</v>
      </c>
    </row>
    <row r="4612" s="1" customFormat="1" customHeight="1" spans="1:6">
      <c r="A4612" s="9" t="str">
        <f>"10060115420"</f>
        <v>10060115420</v>
      </c>
      <c r="B4612" s="10">
        <v>42.72</v>
      </c>
      <c r="C4612" s="9"/>
      <c r="D4612" s="9">
        <f t="shared" si="72"/>
        <v>42.72</v>
      </c>
      <c r="E4612" s="11"/>
      <c r="F4612" s="9"/>
    </row>
    <row r="4613" s="1" customFormat="1" customHeight="1" spans="1:6">
      <c r="A4613" s="9" t="str">
        <f>"10360115421"</f>
        <v>10360115421</v>
      </c>
      <c r="B4613" s="10">
        <v>34.44</v>
      </c>
      <c r="C4613" s="9"/>
      <c r="D4613" s="9">
        <f t="shared" si="72"/>
        <v>34.44</v>
      </c>
      <c r="E4613" s="11"/>
      <c r="F4613" s="9"/>
    </row>
    <row r="4614" s="1" customFormat="1" customHeight="1" spans="1:6">
      <c r="A4614" s="9" t="str">
        <f>"10210115422"</f>
        <v>10210115422</v>
      </c>
      <c r="B4614" s="10">
        <v>51.53</v>
      </c>
      <c r="C4614" s="9"/>
      <c r="D4614" s="9">
        <f t="shared" si="72"/>
        <v>51.53</v>
      </c>
      <c r="E4614" s="11"/>
      <c r="F4614" s="9"/>
    </row>
    <row r="4615" s="1" customFormat="1" customHeight="1" spans="1:6">
      <c r="A4615" s="9" t="str">
        <f>"10080115423"</f>
        <v>10080115423</v>
      </c>
      <c r="B4615" s="10">
        <v>43.99</v>
      </c>
      <c r="C4615" s="9"/>
      <c r="D4615" s="9">
        <f t="shared" si="72"/>
        <v>43.99</v>
      </c>
      <c r="E4615" s="11"/>
      <c r="F4615" s="9"/>
    </row>
    <row r="4616" s="1" customFormat="1" customHeight="1" spans="1:6">
      <c r="A4616" s="9" t="str">
        <f>"10520115424"</f>
        <v>10520115424</v>
      </c>
      <c r="B4616" s="10">
        <v>37.91</v>
      </c>
      <c r="C4616" s="9"/>
      <c r="D4616" s="9">
        <f t="shared" si="72"/>
        <v>37.91</v>
      </c>
      <c r="E4616" s="11"/>
      <c r="F4616" s="9"/>
    </row>
    <row r="4617" s="1" customFormat="1" customHeight="1" spans="1:6">
      <c r="A4617" s="9" t="str">
        <f>"10120115425"</f>
        <v>10120115425</v>
      </c>
      <c r="B4617" s="10">
        <v>0</v>
      </c>
      <c r="C4617" s="9"/>
      <c r="D4617" s="9">
        <f t="shared" si="72"/>
        <v>0</v>
      </c>
      <c r="E4617" s="11"/>
      <c r="F4617" s="9" t="s">
        <v>7</v>
      </c>
    </row>
    <row r="4618" s="1" customFormat="1" customHeight="1" spans="1:6">
      <c r="A4618" s="9" t="str">
        <f>"10360115426"</f>
        <v>10360115426</v>
      </c>
      <c r="B4618" s="10">
        <v>27.59</v>
      </c>
      <c r="C4618" s="9"/>
      <c r="D4618" s="9">
        <f t="shared" si="72"/>
        <v>27.59</v>
      </c>
      <c r="E4618" s="11"/>
      <c r="F4618" s="9"/>
    </row>
    <row r="4619" s="1" customFormat="1" customHeight="1" spans="1:6">
      <c r="A4619" s="9" t="str">
        <f>"10500115427"</f>
        <v>10500115427</v>
      </c>
      <c r="B4619" s="10">
        <v>34</v>
      </c>
      <c r="C4619" s="9"/>
      <c r="D4619" s="9">
        <f t="shared" si="72"/>
        <v>34</v>
      </c>
      <c r="E4619" s="11"/>
      <c r="F4619" s="9"/>
    </row>
    <row r="4620" s="1" customFormat="1" customHeight="1" spans="1:6">
      <c r="A4620" s="9" t="str">
        <f>"10360115428"</f>
        <v>10360115428</v>
      </c>
      <c r="B4620" s="10">
        <v>0</v>
      </c>
      <c r="C4620" s="9"/>
      <c r="D4620" s="9">
        <f t="shared" si="72"/>
        <v>0</v>
      </c>
      <c r="E4620" s="11"/>
      <c r="F4620" s="9" t="s">
        <v>7</v>
      </c>
    </row>
    <row r="4621" s="1" customFormat="1" customHeight="1" spans="1:6">
      <c r="A4621" s="9" t="str">
        <f>"10350115429"</f>
        <v>10350115429</v>
      </c>
      <c r="B4621" s="10">
        <v>41.05</v>
      </c>
      <c r="C4621" s="9"/>
      <c r="D4621" s="9">
        <f t="shared" si="72"/>
        <v>41.05</v>
      </c>
      <c r="E4621" s="11"/>
      <c r="F4621" s="9"/>
    </row>
    <row r="4622" s="1" customFormat="1" customHeight="1" spans="1:6">
      <c r="A4622" s="9" t="str">
        <f>"10120115430"</f>
        <v>10120115430</v>
      </c>
      <c r="B4622" s="10">
        <v>41.5</v>
      </c>
      <c r="C4622" s="9"/>
      <c r="D4622" s="9">
        <f t="shared" si="72"/>
        <v>41.5</v>
      </c>
      <c r="E4622" s="11"/>
      <c r="F4622" s="9"/>
    </row>
    <row r="4623" s="1" customFormat="1" customHeight="1" spans="1:6">
      <c r="A4623" s="9" t="str">
        <f>"10080115501"</f>
        <v>10080115501</v>
      </c>
      <c r="B4623" s="10">
        <v>0</v>
      </c>
      <c r="C4623" s="9"/>
      <c r="D4623" s="9">
        <f t="shared" si="72"/>
        <v>0</v>
      </c>
      <c r="E4623" s="11"/>
      <c r="F4623" s="9" t="s">
        <v>7</v>
      </c>
    </row>
    <row r="4624" s="1" customFormat="1" customHeight="1" spans="1:6">
      <c r="A4624" s="9" t="str">
        <f>"20180115502"</f>
        <v>20180115502</v>
      </c>
      <c r="B4624" s="10">
        <v>46.48</v>
      </c>
      <c r="C4624" s="9"/>
      <c r="D4624" s="9">
        <f t="shared" si="72"/>
        <v>46.48</v>
      </c>
      <c r="E4624" s="11"/>
      <c r="F4624" s="9"/>
    </row>
    <row r="4625" s="1" customFormat="1" customHeight="1" spans="1:6">
      <c r="A4625" s="9" t="str">
        <f>"10240115503"</f>
        <v>10240115503</v>
      </c>
      <c r="B4625" s="10">
        <v>38.54</v>
      </c>
      <c r="C4625" s="9"/>
      <c r="D4625" s="9">
        <f t="shared" si="72"/>
        <v>38.54</v>
      </c>
      <c r="E4625" s="11"/>
      <c r="F4625" s="9"/>
    </row>
    <row r="4626" s="1" customFormat="1" customHeight="1" spans="1:6">
      <c r="A4626" s="9" t="str">
        <f>"10360115504"</f>
        <v>10360115504</v>
      </c>
      <c r="B4626" s="10">
        <v>47.1</v>
      </c>
      <c r="C4626" s="9"/>
      <c r="D4626" s="9">
        <f t="shared" si="72"/>
        <v>47.1</v>
      </c>
      <c r="E4626" s="11"/>
      <c r="F4626" s="9"/>
    </row>
    <row r="4627" s="1" customFormat="1" customHeight="1" spans="1:6">
      <c r="A4627" s="9" t="str">
        <f>"10210115505"</f>
        <v>10210115505</v>
      </c>
      <c r="B4627" s="10">
        <v>0</v>
      </c>
      <c r="C4627" s="9"/>
      <c r="D4627" s="9">
        <f t="shared" si="72"/>
        <v>0</v>
      </c>
      <c r="E4627" s="11"/>
      <c r="F4627" s="9" t="s">
        <v>7</v>
      </c>
    </row>
    <row r="4628" s="1" customFormat="1" customHeight="1" spans="1:6">
      <c r="A4628" s="9" t="str">
        <f>"10320115506"</f>
        <v>10320115506</v>
      </c>
      <c r="B4628" s="10">
        <v>44.21</v>
      </c>
      <c r="C4628" s="9"/>
      <c r="D4628" s="9">
        <f t="shared" si="72"/>
        <v>44.21</v>
      </c>
      <c r="E4628" s="11"/>
      <c r="F4628" s="9"/>
    </row>
    <row r="4629" s="1" customFormat="1" customHeight="1" spans="1:6">
      <c r="A4629" s="9" t="str">
        <f>"10530115507"</f>
        <v>10530115507</v>
      </c>
      <c r="B4629" s="10">
        <v>34</v>
      </c>
      <c r="C4629" s="9"/>
      <c r="D4629" s="9">
        <f t="shared" si="72"/>
        <v>34</v>
      </c>
      <c r="E4629" s="11"/>
      <c r="F4629" s="9"/>
    </row>
    <row r="4630" s="1" customFormat="1" customHeight="1" spans="1:6">
      <c r="A4630" s="9" t="str">
        <f>"10530115508"</f>
        <v>10530115508</v>
      </c>
      <c r="B4630" s="10">
        <v>34.5</v>
      </c>
      <c r="C4630" s="9"/>
      <c r="D4630" s="9">
        <f t="shared" si="72"/>
        <v>34.5</v>
      </c>
      <c r="E4630" s="11"/>
      <c r="F4630" s="9"/>
    </row>
    <row r="4631" s="1" customFormat="1" customHeight="1" spans="1:6">
      <c r="A4631" s="9" t="str">
        <f>"10280115509"</f>
        <v>10280115509</v>
      </c>
      <c r="B4631" s="10">
        <v>40.93</v>
      </c>
      <c r="C4631" s="9"/>
      <c r="D4631" s="9">
        <f t="shared" si="72"/>
        <v>40.93</v>
      </c>
      <c r="E4631" s="11"/>
      <c r="F4631" s="9"/>
    </row>
    <row r="4632" s="1" customFormat="1" customHeight="1" spans="1:6">
      <c r="A4632" s="9" t="str">
        <f>"10360115510"</f>
        <v>10360115510</v>
      </c>
      <c r="B4632" s="10">
        <v>38.47</v>
      </c>
      <c r="C4632" s="9"/>
      <c r="D4632" s="9">
        <f t="shared" si="72"/>
        <v>38.47</v>
      </c>
      <c r="E4632" s="11"/>
      <c r="F4632" s="9"/>
    </row>
    <row r="4633" s="1" customFormat="1" customHeight="1" spans="1:6">
      <c r="A4633" s="9" t="str">
        <f>"10300115511"</f>
        <v>10300115511</v>
      </c>
      <c r="B4633" s="10">
        <v>0</v>
      </c>
      <c r="C4633" s="9"/>
      <c r="D4633" s="9">
        <f t="shared" si="72"/>
        <v>0</v>
      </c>
      <c r="E4633" s="11"/>
      <c r="F4633" s="9" t="s">
        <v>7</v>
      </c>
    </row>
    <row r="4634" s="1" customFormat="1" customHeight="1" spans="1:6">
      <c r="A4634" s="9" t="str">
        <f>"10070115512"</f>
        <v>10070115512</v>
      </c>
      <c r="B4634" s="10">
        <v>40.15</v>
      </c>
      <c r="C4634" s="9"/>
      <c r="D4634" s="9">
        <f t="shared" si="72"/>
        <v>40.15</v>
      </c>
      <c r="E4634" s="11"/>
      <c r="F4634" s="9"/>
    </row>
    <row r="4635" s="1" customFormat="1" customHeight="1" spans="1:6">
      <c r="A4635" s="9" t="str">
        <f>"10240115513"</f>
        <v>10240115513</v>
      </c>
      <c r="B4635" s="10">
        <v>37.98</v>
      </c>
      <c r="C4635" s="9"/>
      <c r="D4635" s="9">
        <f t="shared" si="72"/>
        <v>37.98</v>
      </c>
      <c r="E4635" s="11"/>
      <c r="F4635" s="9"/>
    </row>
    <row r="4636" s="1" customFormat="1" customHeight="1" spans="1:6">
      <c r="A4636" s="9" t="str">
        <f>"10060115514"</f>
        <v>10060115514</v>
      </c>
      <c r="B4636" s="10">
        <v>32.66</v>
      </c>
      <c r="C4636" s="9"/>
      <c r="D4636" s="9">
        <f t="shared" si="72"/>
        <v>32.66</v>
      </c>
      <c r="E4636" s="11"/>
      <c r="F4636" s="9"/>
    </row>
    <row r="4637" s="1" customFormat="1" customHeight="1" spans="1:6">
      <c r="A4637" s="9" t="str">
        <f>"10530115515"</f>
        <v>10530115515</v>
      </c>
      <c r="B4637" s="10">
        <v>39.23</v>
      </c>
      <c r="C4637" s="9"/>
      <c r="D4637" s="9">
        <f t="shared" si="72"/>
        <v>39.23</v>
      </c>
      <c r="E4637" s="11"/>
      <c r="F4637" s="9"/>
    </row>
    <row r="4638" s="1" customFormat="1" customHeight="1" spans="1:6">
      <c r="A4638" s="9" t="str">
        <f>"10060115516"</f>
        <v>10060115516</v>
      </c>
      <c r="B4638" s="10">
        <v>47.04</v>
      </c>
      <c r="C4638" s="9"/>
      <c r="D4638" s="9">
        <f t="shared" si="72"/>
        <v>47.04</v>
      </c>
      <c r="E4638" s="11"/>
      <c r="F4638" s="9"/>
    </row>
    <row r="4639" s="1" customFormat="1" customHeight="1" spans="1:6">
      <c r="A4639" s="9" t="str">
        <f>"10130115517"</f>
        <v>10130115517</v>
      </c>
      <c r="B4639" s="10">
        <v>34.18</v>
      </c>
      <c r="C4639" s="9"/>
      <c r="D4639" s="9">
        <f t="shared" si="72"/>
        <v>34.18</v>
      </c>
      <c r="E4639" s="11"/>
      <c r="F4639" s="9"/>
    </row>
    <row r="4640" s="1" customFormat="1" customHeight="1" spans="1:6">
      <c r="A4640" s="9" t="str">
        <f>"10320115518"</f>
        <v>10320115518</v>
      </c>
      <c r="B4640" s="10">
        <v>0</v>
      </c>
      <c r="C4640" s="9"/>
      <c r="D4640" s="9">
        <f t="shared" si="72"/>
        <v>0</v>
      </c>
      <c r="E4640" s="11"/>
      <c r="F4640" s="9" t="s">
        <v>7</v>
      </c>
    </row>
    <row r="4641" s="1" customFormat="1" customHeight="1" spans="1:6">
      <c r="A4641" s="9" t="str">
        <f>"10100115519"</f>
        <v>10100115519</v>
      </c>
      <c r="B4641" s="10">
        <v>0</v>
      </c>
      <c r="C4641" s="9"/>
      <c r="D4641" s="9">
        <f t="shared" si="72"/>
        <v>0</v>
      </c>
      <c r="E4641" s="11"/>
      <c r="F4641" s="9" t="s">
        <v>7</v>
      </c>
    </row>
    <row r="4642" s="1" customFormat="1" customHeight="1" spans="1:6">
      <c r="A4642" s="9" t="str">
        <f>"10010115520"</f>
        <v>10010115520</v>
      </c>
      <c r="B4642" s="10">
        <v>46.46</v>
      </c>
      <c r="C4642" s="9"/>
      <c r="D4642" s="9">
        <f t="shared" si="72"/>
        <v>46.46</v>
      </c>
      <c r="E4642" s="11"/>
      <c r="F4642" s="9"/>
    </row>
    <row r="4643" s="1" customFormat="1" customHeight="1" spans="1:6">
      <c r="A4643" s="9" t="str">
        <f>"10200115521"</f>
        <v>10200115521</v>
      </c>
      <c r="B4643" s="10">
        <v>41.49</v>
      </c>
      <c r="C4643" s="9"/>
      <c r="D4643" s="9">
        <f t="shared" si="72"/>
        <v>41.49</v>
      </c>
      <c r="E4643" s="11"/>
      <c r="F4643" s="9"/>
    </row>
    <row r="4644" s="1" customFormat="1" customHeight="1" spans="1:6">
      <c r="A4644" s="9" t="str">
        <f>"10240115522"</f>
        <v>10240115522</v>
      </c>
      <c r="B4644" s="10">
        <v>36.1</v>
      </c>
      <c r="C4644" s="9"/>
      <c r="D4644" s="9">
        <f t="shared" si="72"/>
        <v>36.1</v>
      </c>
      <c r="E4644" s="11"/>
      <c r="F4644" s="9"/>
    </row>
    <row r="4645" s="1" customFormat="1" customHeight="1" spans="1:6">
      <c r="A4645" s="9" t="str">
        <f>"10360115523"</f>
        <v>10360115523</v>
      </c>
      <c r="B4645" s="10">
        <v>39.57</v>
      </c>
      <c r="C4645" s="9"/>
      <c r="D4645" s="9">
        <f t="shared" si="72"/>
        <v>39.57</v>
      </c>
      <c r="E4645" s="11"/>
      <c r="F4645" s="9"/>
    </row>
    <row r="4646" s="1" customFormat="1" customHeight="1" spans="1:6">
      <c r="A4646" s="9" t="str">
        <f>"10520115524"</f>
        <v>10520115524</v>
      </c>
      <c r="B4646" s="10">
        <v>33.92</v>
      </c>
      <c r="C4646" s="9"/>
      <c r="D4646" s="9">
        <f t="shared" si="72"/>
        <v>33.92</v>
      </c>
      <c r="E4646" s="11"/>
      <c r="F4646" s="9"/>
    </row>
    <row r="4647" s="1" customFormat="1" customHeight="1" spans="1:6">
      <c r="A4647" s="9" t="str">
        <f>"10360115525"</f>
        <v>10360115525</v>
      </c>
      <c r="B4647" s="10">
        <v>36.68</v>
      </c>
      <c r="C4647" s="9"/>
      <c r="D4647" s="9">
        <f t="shared" si="72"/>
        <v>36.68</v>
      </c>
      <c r="E4647" s="11"/>
      <c r="F4647" s="9"/>
    </row>
    <row r="4648" s="1" customFormat="1" customHeight="1" spans="1:6">
      <c r="A4648" s="9" t="str">
        <f>"10200115526"</f>
        <v>10200115526</v>
      </c>
      <c r="B4648" s="10">
        <v>0</v>
      </c>
      <c r="C4648" s="9"/>
      <c r="D4648" s="9">
        <f t="shared" si="72"/>
        <v>0</v>
      </c>
      <c r="E4648" s="11"/>
      <c r="F4648" s="9" t="s">
        <v>7</v>
      </c>
    </row>
    <row r="4649" s="1" customFormat="1" customHeight="1" spans="1:6">
      <c r="A4649" s="9" t="str">
        <f>"10530115527"</f>
        <v>10530115527</v>
      </c>
      <c r="B4649" s="10">
        <v>0</v>
      </c>
      <c r="C4649" s="9"/>
      <c r="D4649" s="9">
        <f t="shared" si="72"/>
        <v>0</v>
      </c>
      <c r="E4649" s="11"/>
      <c r="F4649" s="9" t="s">
        <v>7</v>
      </c>
    </row>
    <row r="4650" s="1" customFormat="1" customHeight="1" spans="1:6">
      <c r="A4650" s="9" t="str">
        <f>"10140115528"</f>
        <v>10140115528</v>
      </c>
      <c r="B4650" s="10">
        <v>0</v>
      </c>
      <c r="C4650" s="9"/>
      <c r="D4650" s="9">
        <f t="shared" si="72"/>
        <v>0</v>
      </c>
      <c r="E4650" s="11"/>
      <c r="F4650" s="9" t="s">
        <v>7</v>
      </c>
    </row>
    <row r="4651" s="1" customFormat="1" customHeight="1" spans="1:6">
      <c r="A4651" s="9" t="str">
        <f>"10110115529"</f>
        <v>10110115529</v>
      </c>
      <c r="B4651" s="10">
        <v>38.96</v>
      </c>
      <c r="C4651" s="9"/>
      <c r="D4651" s="9">
        <f t="shared" si="72"/>
        <v>38.96</v>
      </c>
      <c r="E4651" s="11"/>
      <c r="F4651" s="9"/>
    </row>
    <row r="4652" s="1" customFormat="1" customHeight="1" spans="1:6">
      <c r="A4652" s="9" t="str">
        <f>"10280115530"</f>
        <v>10280115530</v>
      </c>
      <c r="B4652" s="10">
        <v>0</v>
      </c>
      <c r="C4652" s="9"/>
      <c r="D4652" s="9">
        <f t="shared" si="72"/>
        <v>0</v>
      </c>
      <c r="E4652" s="11"/>
      <c r="F4652" s="9" t="s">
        <v>7</v>
      </c>
    </row>
    <row r="4653" s="1" customFormat="1" customHeight="1" spans="1:6">
      <c r="A4653" s="9" t="str">
        <f>"10360115601"</f>
        <v>10360115601</v>
      </c>
      <c r="B4653" s="10">
        <v>40.18</v>
      </c>
      <c r="C4653" s="9"/>
      <c r="D4653" s="9">
        <f t="shared" si="72"/>
        <v>40.18</v>
      </c>
      <c r="E4653" s="11"/>
      <c r="F4653" s="9"/>
    </row>
    <row r="4654" s="1" customFormat="1" customHeight="1" spans="1:6">
      <c r="A4654" s="9" t="str">
        <f>"10310115602"</f>
        <v>10310115602</v>
      </c>
      <c r="B4654" s="10">
        <v>40.58</v>
      </c>
      <c r="C4654" s="9"/>
      <c r="D4654" s="9">
        <f t="shared" si="72"/>
        <v>40.58</v>
      </c>
      <c r="E4654" s="11"/>
      <c r="F4654" s="9"/>
    </row>
    <row r="4655" s="1" customFormat="1" customHeight="1" spans="1:6">
      <c r="A4655" s="9" t="str">
        <f>"10360115603"</f>
        <v>10360115603</v>
      </c>
      <c r="B4655" s="10">
        <v>0</v>
      </c>
      <c r="C4655" s="9"/>
      <c r="D4655" s="9">
        <f t="shared" si="72"/>
        <v>0</v>
      </c>
      <c r="E4655" s="11"/>
      <c r="F4655" s="9" t="s">
        <v>7</v>
      </c>
    </row>
    <row r="4656" s="1" customFormat="1" customHeight="1" spans="1:6">
      <c r="A4656" s="9" t="str">
        <f>"10080115604"</f>
        <v>10080115604</v>
      </c>
      <c r="B4656" s="10">
        <v>36.89</v>
      </c>
      <c r="C4656" s="9"/>
      <c r="D4656" s="9">
        <f t="shared" si="72"/>
        <v>36.89</v>
      </c>
      <c r="E4656" s="11"/>
      <c r="F4656" s="9"/>
    </row>
    <row r="4657" s="1" customFormat="1" customHeight="1" spans="1:6">
      <c r="A4657" s="9" t="str">
        <f>"10100115605"</f>
        <v>10100115605</v>
      </c>
      <c r="B4657" s="10">
        <v>0</v>
      </c>
      <c r="C4657" s="9"/>
      <c r="D4657" s="9">
        <f t="shared" si="72"/>
        <v>0</v>
      </c>
      <c r="E4657" s="11"/>
      <c r="F4657" s="9" t="s">
        <v>7</v>
      </c>
    </row>
    <row r="4658" s="1" customFormat="1" customHeight="1" spans="1:6">
      <c r="A4658" s="9" t="str">
        <f>"10440115606"</f>
        <v>10440115606</v>
      </c>
      <c r="B4658" s="10">
        <v>35.9</v>
      </c>
      <c r="C4658" s="9"/>
      <c r="D4658" s="9">
        <f t="shared" si="72"/>
        <v>35.9</v>
      </c>
      <c r="E4658" s="11"/>
      <c r="F4658" s="9"/>
    </row>
    <row r="4659" s="1" customFormat="1" customHeight="1" spans="1:6">
      <c r="A4659" s="9" t="str">
        <f>"10140115607"</f>
        <v>10140115607</v>
      </c>
      <c r="B4659" s="10">
        <v>39.69</v>
      </c>
      <c r="C4659" s="9"/>
      <c r="D4659" s="9">
        <f t="shared" si="72"/>
        <v>39.69</v>
      </c>
      <c r="E4659" s="11"/>
      <c r="F4659" s="9"/>
    </row>
    <row r="4660" s="1" customFormat="1" customHeight="1" spans="1:6">
      <c r="A4660" s="9" t="str">
        <f>"10330115608"</f>
        <v>10330115608</v>
      </c>
      <c r="B4660" s="10">
        <v>45.87</v>
      </c>
      <c r="C4660" s="9"/>
      <c r="D4660" s="9">
        <f t="shared" si="72"/>
        <v>45.87</v>
      </c>
      <c r="E4660" s="11"/>
      <c r="F4660" s="9"/>
    </row>
    <row r="4661" s="1" customFormat="1" customHeight="1" spans="1:6">
      <c r="A4661" s="9" t="str">
        <f>"10240115609"</f>
        <v>10240115609</v>
      </c>
      <c r="B4661" s="10">
        <v>0</v>
      </c>
      <c r="C4661" s="9"/>
      <c r="D4661" s="9">
        <f t="shared" si="72"/>
        <v>0</v>
      </c>
      <c r="E4661" s="11"/>
      <c r="F4661" s="9" t="s">
        <v>7</v>
      </c>
    </row>
    <row r="4662" s="1" customFormat="1" customHeight="1" spans="1:6">
      <c r="A4662" s="9" t="str">
        <f>"10080115610"</f>
        <v>10080115610</v>
      </c>
      <c r="B4662" s="10">
        <v>0</v>
      </c>
      <c r="C4662" s="9"/>
      <c r="D4662" s="9">
        <f t="shared" si="72"/>
        <v>0</v>
      </c>
      <c r="E4662" s="11"/>
      <c r="F4662" s="9" t="s">
        <v>7</v>
      </c>
    </row>
    <row r="4663" s="1" customFormat="1" customHeight="1" spans="1:6">
      <c r="A4663" s="9" t="str">
        <f>"10060115611"</f>
        <v>10060115611</v>
      </c>
      <c r="B4663" s="10">
        <v>36.31</v>
      </c>
      <c r="C4663" s="9"/>
      <c r="D4663" s="9">
        <f t="shared" si="72"/>
        <v>36.31</v>
      </c>
      <c r="E4663" s="11"/>
      <c r="F4663" s="9"/>
    </row>
    <row r="4664" s="1" customFormat="1" customHeight="1" spans="1:6">
      <c r="A4664" s="9" t="str">
        <f>"10360115612"</f>
        <v>10360115612</v>
      </c>
      <c r="B4664" s="10">
        <v>40.16</v>
      </c>
      <c r="C4664" s="9"/>
      <c r="D4664" s="9">
        <f t="shared" si="72"/>
        <v>40.16</v>
      </c>
      <c r="E4664" s="11"/>
      <c r="F4664" s="9"/>
    </row>
    <row r="4665" s="1" customFormat="1" customHeight="1" spans="1:6">
      <c r="A4665" s="9" t="str">
        <f>"10080115613"</f>
        <v>10080115613</v>
      </c>
      <c r="B4665" s="10">
        <v>44.2</v>
      </c>
      <c r="C4665" s="9"/>
      <c r="D4665" s="9">
        <f t="shared" si="72"/>
        <v>44.2</v>
      </c>
      <c r="E4665" s="11"/>
      <c r="F4665" s="9"/>
    </row>
    <row r="4666" s="1" customFormat="1" customHeight="1" spans="1:6">
      <c r="A4666" s="9" t="str">
        <f>"10270115614"</f>
        <v>10270115614</v>
      </c>
      <c r="B4666" s="10">
        <v>39.76</v>
      </c>
      <c r="C4666" s="9"/>
      <c r="D4666" s="9">
        <f t="shared" si="72"/>
        <v>39.76</v>
      </c>
      <c r="E4666" s="11"/>
      <c r="F4666" s="9"/>
    </row>
    <row r="4667" s="1" customFormat="1" customHeight="1" spans="1:6">
      <c r="A4667" s="9" t="str">
        <f>"10170115615"</f>
        <v>10170115615</v>
      </c>
      <c r="B4667" s="10">
        <v>0</v>
      </c>
      <c r="C4667" s="9"/>
      <c r="D4667" s="9">
        <f t="shared" si="72"/>
        <v>0</v>
      </c>
      <c r="E4667" s="11"/>
      <c r="F4667" s="9" t="s">
        <v>7</v>
      </c>
    </row>
    <row r="4668" s="1" customFormat="1" customHeight="1" spans="1:6">
      <c r="A4668" s="9" t="str">
        <f>"10360115616"</f>
        <v>10360115616</v>
      </c>
      <c r="B4668" s="10">
        <v>0</v>
      </c>
      <c r="C4668" s="9"/>
      <c r="D4668" s="9">
        <f t="shared" si="72"/>
        <v>0</v>
      </c>
      <c r="E4668" s="11"/>
      <c r="F4668" s="9" t="s">
        <v>7</v>
      </c>
    </row>
    <row r="4669" s="1" customFormat="1" customHeight="1" spans="1:6">
      <c r="A4669" s="9" t="str">
        <f>"10010115617"</f>
        <v>10010115617</v>
      </c>
      <c r="B4669" s="10">
        <v>0</v>
      </c>
      <c r="C4669" s="9"/>
      <c r="D4669" s="9">
        <f t="shared" si="72"/>
        <v>0</v>
      </c>
      <c r="E4669" s="11"/>
      <c r="F4669" s="9" t="s">
        <v>7</v>
      </c>
    </row>
    <row r="4670" s="1" customFormat="1" customHeight="1" spans="1:6">
      <c r="A4670" s="9" t="str">
        <f>"10120115618"</f>
        <v>10120115618</v>
      </c>
      <c r="B4670" s="10">
        <v>39.31</v>
      </c>
      <c r="C4670" s="9"/>
      <c r="D4670" s="9">
        <f t="shared" si="72"/>
        <v>39.31</v>
      </c>
      <c r="E4670" s="11"/>
      <c r="F4670" s="9"/>
    </row>
    <row r="4671" s="1" customFormat="1" customHeight="1" spans="1:6">
      <c r="A4671" s="9" t="str">
        <f>"10060115619"</f>
        <v>10060115619</v>
      </c>
      <c r="B4671" s="10">
        <v>32.71</v>
      </c>
      <c r="C4671" s="9"/>
      <c r="D4671" s="9">
        <f t="shared" si="72"/>
        <v>32.71</v>
      </c>
      <c r="E4671" s="11"/>
      <c r="F4671" s="9"/>
    </row>
    <row r="4672" s="1" customFormat="1" customHeight="1" spans="1:6">
      <c r="A4672" s="9" t="str">
        <f>"10210115620"</f>
        <v>10210115620</v>
      </c>
      <c r="B4672" s="10">
        <v>48.64</v>
      </c>
      <c r="C4672" s="9"/>
      <c r="D4672" s="9">
        <f t="shared" si="72"/>
        <v>48.64</v>
      </c>
      <c r="E4672" s="11"/>
      <c r="F4672" s="9"/>
    </row>
    <row r="4673" s="1" customFormat="1" customHeight="1" spans="1:6">
      <c r="A4673" s="9" t="str">
        <f>"10160115621"</f>
        <v>10160115621</v>
      </c>
      <c r="B4673" s="10">
        <v>0</v>
      </c>
      <c r="C4673" s="9"/>
      <c r="D4673" s="9">
        <f t="shared" si="72"/>
        <v>0</v>
      </c>
      <c r="E4673" s="11"/>
      <c r="F4673" s="9" t="s">
        <v>7</v>
      </c>
    </row>
    <row r="4674" s="1" customFormat="1" customHeight="1" spans="1:6">
      <c r="A4674" s="9" t="str">
        <f>"10210115622"</f>
        <v>10210115622</v>
      </c>
      <c r="B4674" s="10">
        <v>0</v>
      </c>
      <c r="C4674" s="9"/>
      <c r="D4674" s="9">
        <f t="shared" si="72"/>
        <v>0</v>
      </c>
      <c r="E4674" s="11"/>
      <c r="F4674" s="9" t="s">
        <v>7</v>
      </c>
    </row>
    <row r="4675" s="1" customFormat="1" customHeight="1" spans="1:6">
      <c r="A4675" s="9" t="str">
        <f>"10320115623"</f>
        <v>10320115623</v>
      </c>
      <c r="B4675" s="10">
        <v>44.34</v>
      </c>
      <c r="C4675" s="9"/>
      <c r="D4675" s="9">
        <f t="shared" ref="D4675:D4738" si="73">SUM(B4675:C4675)</f>
        <v>44.34</v>
      </c>
      <c r="E4675" s="11"/>
      <c r="F4675" s="9"/>
    </row>
    <row r="4676" s="1" customFormat="1" customHeight="1" spans="1:6">
      <c r="A4676" s="9" t="str">
        <f>"10200115624"</f>
        <v>10200115624</v>
      </c>
      <c r="B4676" s="10">
        <v>42.16</v>
      </c>
      <c r="C4676" s="9"/>
      <c r="D4676" s="9">
        <f t="shared" si="73"/>
        <v>42.16</v>
      </c>
      <c r="E4676" s="11"/>
      <c r="F4676" s="9"/>
    </row>
    <row r="4677" s="1" customFormat="1" customHeight="1" spans="1:6">
      <c r="A4677" s="9" t="str">
        <f>"10530115625"</f>
        <v>10530115625</v>
      </c>
      <c r="B4677" s="10">
        <v>33.68</v>
      </c>
      <c r="C4677" s="9"/>
      <c r="D4677" s="9">
        <f t="shared" si="73"/>
        <v>33.68</v>
      </c>
      <c r="E4677" s="11"/>
      <c r="F4677" s="9"/>
    </row>
    <row r="4678" s="1" customFormat="1" customHeight="1" spans="1:6">
      <c r="A4678" s="9" t="str">
        <f>"10350115626"</f>
        <v>10350115626</v>
      </c>
      <c r="B4678" s="10">
        <v>35.8</v>
      </c>
      <c r="C4678" s="9"/>
      <c r="D4678" s="9">
        <f t="shared" si="73"/>
        <v>35.8</v>
      </c>
      <c r="E4678" s="11"/>
      <c r="F4678" s="9"/>
    </row>
    <row r="4679" s="1" customFormat="1" customHeight="1" spans="1:6">
      <c r="A4679" s="9" t="str">
        <f>"10490115627"</f>
        <v>10490115627</v>
      </c>
      <c r="B4679" s="10">
        <v>0</v>
      </c>
      <c r="C4679" s="9"/>
      <c r="D4679" s="9">
        <f t="shared" si="73"/>
        <v>0</v>
      </c>
      <c r="E4679" s="11"/>
      <c r="F4679" s="9" t="s">
        <v>7</v>
      </c>
    </row>
    <row r="4680" s="1" customFormat="1" customHeight="1" spans="1:6">
      <c r="A4680" s="9" t="str">
        <f>"10510115628"</f>
        <v>10510115628</v>
      </c>
      <c r="B4680" s="10">
        <v>40.14</v>
      </c>
      <c r="C4680" s="9"/>
      <c r="D4680" s="9">
        <f t="shared" si="73"/>
        <v>40.14</v>
      </c>
      <c r="E4680" s="11"/>
      <c r="F4680" s="9"/>
    </row>
    <row r="4681" s="1" customFormat="1" customHeight="1" spans="1:6">
      <c r="A4681" s="9" t="str">
        <f>"10530115629"</f>
        <v>10530115629</v>
      </c>
      <c r="B4681" s="10">
        <v>33.76</v>
      </c>
      <c r="C4681" s="9"/>
      <c r="D4681" s="9">
        <f t="shared" si="73"/>
        <v>33.76</v>
      </c>
      <c r="E4681" s="11"/>
      <c r="F4681" s="9"/>
    </row>
    <row r="4682" s="1" customFormat="1" customHeight="1" spans="1:6">
      <c r="A4682" s="9" t="str">
        <f>"10360115630"</f>
        <v>10360115630</v>
      </c>
      <c r="B4682" s="10">
        <v>32.96</v>
      </c>
      <c r="C4682" s="9"/>
      <c r="D4682" s="9">
        <f t="shared" si="73"/>
        <v>32.96</v>
      </c>
      <c r="E4682" s="11"/>
      <c r="F4682" s="9"/>
    </row>
    <row r="4683" s="1" customFormat="1" customHeight="1" spans="1:6">
      <c r="A4683" s="9" t="str">
        <f>"10300115701"</f>
        <v>10300115701</v>
      </c>
      <c r="B4683" s="10">
        <v>0</v>
      </c>
      <c r="C4683" s="9"/>
      <c r="D4683" s="9">
        <f t="shared" si="73"/>
        <v>0</v>
      </c>
      <c r="E4683" s="11"/>
      <c r="F4683" s="9" t="s">
        <v>7</v>
      </c>
    </row>
    <row r="4684" s="1" customFormat="1" customHeight="1" spans="1:6">
      <c r="A4684" s="9" t="str">
        <f>"10360115702"</f>
        <v>10360115702</v>
      </c>
      <c r="B4684" s="10">
        <v>0</v>
      </c>
      <c r="C4684" s="9"/>
      <c r="D4684" s="9">
        <f t="shared" si="73"/>
        <v>0</v>
      </c>
      <c r="E4684" s="11"/>
      <c r="F4684" s="9" t="s">
        <v>7</v>
      </c>
    </row>
    <row r="4685" s="1" customFormat="1" customHeight="1" spans="1:6">
      <c r="A4685" s="9" t="str">
        <f>"10290115703"</f>
        <v>10290115703</v>
      </c>
      <c r="B4685" s="10">
        <v>0</v>
      </c>
      <c r="C4685" s="9"/>
      <c r="D4685" s="9">
        <f t="shared" si="73"/>
        <v>0</v>
      </c>
      <c r="E4685" s="11"/>
      <c r="F4685" s="9" t="s">
        <v>7</v>
      </c>
    </row>
    <row r="4686" s="1" customFormat="1" customHeight="1" spans="1:6">
      <c r="A4686" s="9" t="str">
        <f>"10530115704"</f>
        <v>10530115704</v>
      </c>
      <c r="B4686" s="10">
        <v>0</v>
      </c>
      <c r="C4686" s="9"/>
      <c r="D4686" s="9">
        <f t="shared" si="73"/>
        <v>0</v>
      </c>
      <c r="E4686" s="11"/>
      <c r="F4686" s="9" t="s">
        <v>7</v>
      </c>
    </row>
    <row r="4687" s="1" customFormat="1" customHeight="1" spans="1:6">
      <c r="A4687" s="9" t="str">
        <f>"10210115705"</f>
        <v>10210115705</v>
      </c>
      <c r="B4687" s="10">
        <v>0</v>
      </c>
      <c r="C4687" s="9"/>
      <c r="D4687" s="9">
        <f t="shared" si="73"/>
        <v>0</v>
      </c>
      <c r="E4687" s="11"/>
      <c r="F4687" s="9" t="s">
        <v>7</v>
      </c>
    </row>
    <row r="4688" s="1" customFormat="1" customHeight="1" spans="1:6">
      <c r="A4688" s="9" t="str">
        <f>"10170115706"</f>
        <v>10170115706</v>
      </c>
      <c r="B4688" s="10">
        <v>42.25</v>
      </c>
      <c r="C4688" s="9"/>
      <c r="D4688" s="9">
        <f t="shared" si="73"/>
        <v>42.25</v>
      </c>
      <c r="E4688" s="11"/>
      <c r="F4688" s="9"/>
    </row>
    <row r="4689" s="1" customFormat="1" customHeight="1" spans="1:6">
      <c r="A4689" s="9" t="str">
        <f>"10120115707"</f>
        <v>10120115707</v>
      </c>
      <c r="B4689" s="10">
        <v>36.32</v>
      </c>
      <c r="C4689" s="9"/>
      <c r="D4689" s="9">
        <f t="shared" si="73"/>
        <v>36.32</v>
      </c>
      <c r="E4689" s="11"/>
      <c r="F4689" s="9"/>
    </row>
    <row r="4690" s="1" customFormat="1" customHeight="1" spans="1:6">
      <c r="A4690" s="9" t="str">
        <f>"10170115708"</f>
        <v>10170115708</v>
      </c>
      <c r="B4690" s="10">
        <v>0</v>
      </c>
      <c r="C4690" s="9"/>
      <c r="D4690" s="9">
        <f t="shared" si="73"/>
        <v>0</v>
      </c>
      <c r="E4690" s="11"/>
      <c r="F4690" s="9" t="s">
        <v>7</v>
      </c>
    </row>
    <row r="4691" s="1" customFormat="1" customHeight="1" spans="1:6">
      <c r="A4691" s="9" t="str">
        <f>"10360115709"</f>
        <v>10360115709</v>
      </c>
      <c r="B4691" s="10">
        <v>51.08</v>
      </c>
      <c r="C4691" s="9"/>
      <c r="D4691" s="9">
        <f t="shared" si="73"/>
        <v>51.08</v>
      </c>
      <c r="E4691" s="11"/>
      <c r="F4691" s="9"/>
    </row>
    <row r="4692" s="1" customFormat="1" customHeight="1" spans="1:6">
      <c r="A4692" s="9" t="str">
        <f>"10510115710"</f>
        <v>10510115710</v>
      </c>
      <c r="B4692" s="10">
        <v>35.01</v>
      </c>
      <c r="C4692" s="9"/>
      <c r="D4692" s="9">
        <f t="shared" si="73"/>
        <v>35.01</v>
      </c>
      <c r="E4692" s="11"/>
      <c r="F4692" s="9"/>
    </row>
    <row r="4693" s="1" customFormat="1" customHeight="1" spans="1:6">
      <c r="A4693" s="9" t="str">
        <f>"10280115711"</f>
        <v>10280115711</v>
      </c>
      <c r="B4693" s="10">
        <v>48.55</v>
      </c>
      <c r="C4693" s="9"/>
      <c r="D4693" s="9">
        <f t="shared" si="73"/>
        <v>48.55</v>
      </c>
      <c r="E4693" s="11"/>
      <c r="F4693" s="9"/>
    </row>
    <row r="4694" s="1" customFormat="1" customHeight="1" spans="1:6">
      <c r="A4694" s="9" t="str">
        <f>"10360115712"</f>
        <v>10360115712</v>
      </c>
      <c r="B4694" s="10">
        <v>0</v>
      </c>
      <c r="C4694" s="9"/>
      <c r="D4694" s="9">
        <f t="shared" si="73"/>
        <v>0</v>
      </c>
      <c r="E4694" s="11"/>
      <c r="F4694" s="9" t="s">
        <v>7</v>
      </c>
    </row>
    <row r="4695" s="1" customFormat="1" customHeight="1" spans="1:6">
      <c r="A4695" s="9" t="str">
        <f>"10530115713"</f>
        <v>10530115713</v>
      </c>
      <c r="B4695" s="10">
        <v>0</v>
      </c>
      <c r="C4695" s="9"/>
      <c r="D4695" s="9">
        <f t="shared" si="73"/>
        <v>0</v>
      </c>
      <c r="E4695" s="11"/>
      <c r="F4695" s="9" t="s">
        <v>7</v>
      </c>
    </row>
    <row r="4696" s="1" customFormat="1" customHeight="1" spans="1:6">
      <c r="A4696" s="9" t="str">
        <f>"10410115714"</f>
        <v>10410115714</v>
      </c>
      <c r="B4696" s="10">
        <v>47.01</v>
      </c>
      <c r="C4696" s="9"/>
      <c r="D4696" s="9">
        <f t="shared" si="73"/>
        <v>47.01</v>
      </c>
      <c r="E4696" s="11"/>
      <c r="F4696" s="9"/>
    </row>
    <row r="4697" s="1" customFormat="1" customHeight="1" spans="1:6">
      <c r="A4697" s="9" t="str">
        <f>"10210115715"</f>
        <v>10210115715</v>
      </c>
      <c r="B4697" s="10">
        <v>45.9</v>
      </c>
      <c r="C4697" s="9"/>
      <c r="D4697" s="9">
        <f t="shared" si="73"/>
        <v>45.9</v>
      </c>
      <c r="E4697" s="11"/>
      <c r="F4697" s="9"/>
    </row>
    <row r="4698" s="1" customFormat="1" customHeight="1" spans="1:6">
      <c r="A4698" s="9" t="str">
        <f>"10280115716"</f>
        <v>10280115716</v>
      </c>
      <c r="B4698" s="10">
        <v>0</v>
      </c>
      <c r="C4698" s="9"/>
      <c r="D4698" s="9">
        <f t="shared" si="73"/>
        <v>0</v>
      </c>
      <c r="E4698" s="11"/>
      <c r="F4698" s="9" t="s">
        <v>7</v>
      </c>
    </row>
    <row r="4699" s="1" customFormat="1" customHeight="1" spans="1:6">
      <c r="A4699" s="9" t="str">
        <f>"10330115717"</f>
        <v>10330115717</v>
      </c>
      <c r="B4699" s="10">
        <v>45.6</v>
      </c>
      <c r="C4699" s="9"/>
      <c r="D4699" s="9">
        <f t="shared" si="73"/>
        <v>45.6</v>
      </c>
      <c r="E4699" s="11"/>
      <c r="F4699" s="9"/>
    </row>
    <row r="4700" s="1" customFormat="1" customHeight="1" spans="1:6">
      <c r="A4700" s="9" t="str">
        <f>"10500115718"</f>
        <v>10500115718</v>
      </c>
      <c r="B4700" s="10">
        <v>49.23</v>
      </c>
      <c r="C4700" s="9"/>
      <c r="D4700" s="9">
        <f t="shared" si="73"/>
        <v>49.23</v>
      </c>
      <c r="E4700" s="11"/>
      <c r="F4700" s="9"/>
    </row>
    <row r="4701" s="1" customFormat="1" customHeight="1" spans="1:6">
      <c r="A4701" s="9" t="str">
        <f>"10440115719"</f>
        <v>10440115719</v>
      </c>
      <c r="B4701" s="10">
        <v>38.82</v>
      </c>
      <c r="C4701" s="9"/>
      <c r="D4701" s="9">
        <f t="shared" si="73"/>
        <v>38.82</v>
      </c>
      <c r="E4701" s="11"/>
      <c r="F4701" s="9"/>
    </row>
    <row r="4702" s="1" customFormat="1" customHeight="1" spans="1:6">
      <c r="A4702" s="9" t="str">
        <f>"10240115720"</f>
        <v>10240115720</v>
      </c>
      <c r="B4702" s="10">
        <v>41.67</v>
      </c>
      <c r="C4702" s="9"/>
      <c r="D4702" s="9">
        <f t="shared" si="73"/>
        <v>41.67</v>
      </c>
      <c r="E4702" s="11"/>
      <c r="F4702" s="9"/>
    </row>
    <row r="4703" s="1" customFormat="1" customHeight="1" spans="1:6">
      <c r="A4703" s="9" t="str">
        <f>"10300115721"</f>
        <v>10300115721</v>
      </c>
      <c r="B4703" s="10">
        <v>0</v>
      </c>
      <c r="C4703" s="9"/>
      <c r="D4703" s="9">
        <f t="shared" si="73"/>
        <v>0</v>
      </c>
      <c r="E4703" s="11"/>
      <c r="F4703" s="9" t="s">
        <v>7</v>
      </c>
    </row>
    <row r="4704" s="1" customFormat="1" customHeight="1" spans="1:6">
      <c r="A4704" s="9" t="str">
        <f>"10080115722"</f>
        <v>10080115722</v>
      </c>
      <c r="B4704" s="10">
        <v>32.18</v>
      </c>
      <c r="C4704" s="9"/>
      <c r="D4704" s="9">
        <f t="shared" si="73"/>
        <v>32.18</v>
      </c>
      <c r="E4704" s="11"/>
      <c r="F4704" s="9"/>
    </row>
    <row r="4705" s="1" customFormat="1" customHeight="1" spans="1:6">
      <c r="A4705" s="9" t="str">
        <f>"10100115723"</f>
        <v>10100115723</v>
      </c>
      <c r="B4705" s="10">
        <v>37.16</v>
      </c>
      <c r="C4705" s="9"/>
      <c r="D4705" s="9">
        <f t="shared" si="73"/>
        <v>37.16</v>
      </c>
      <c r="E4705" s="11"/>
      <c r="F4705" s="9"/>
    </row>
    <row r="4706" s="1" customFormat="1" customHeight="1" spans="1:6">
      <c r="A4706" s="9" t="str">
        <f>"10520115724"</f>
        <v>10520115724</v>
      </c>
      <c r="B4706" s="10">
        <v>44.43</v>
      </c>
      <c r="C4706" s="9"/>
      <c r="D4706" s="9">
        <f t="shared" si="73"/>
        <v>44.43</v>
      </c>
      <c r="E4706" s="11"/>
      <c r="F4706" s="9"/>
    </row>
    <row r="4707" s="1" customFormat="1" customHeight="1" spans="1:6">
      <c r="A4707" s="9" t="str">
        <f>"10170115725"</f>
        <v>10170115725</v>
      </c>
      <c r="B4707" s="10">
        <v>43.29</v>
      </c>
      <c r="C4707" s="9"/>
      <c r="D4707" s="9">
        <f t="shared" si="73"/>
        <v>43.29</v>
      </c>
      <c r="E4707" s="11"/>
      <c r="F4707" s="9"/>
    </row>
    <row r="4708" s="1" customFormat="1" customHeight="1" spans="1:6">
      <c r="A4708" s="9" t="str">
        <f>"10280115726"</f>
        <v>10280115726</v>
      </c>
      <c r="B4708" s="10">
        <v>0</v>
      </c>
      <c r="C4708" s="9"/>
      <c r="D4708" s="9">
        <f t="shared" si="73"/>
        <v>0</v>
      </c>
      <c r="E4708" s="11"/>
      <c r="F4708" s="9" t="s">
        <v>7</v>
      </c>
    </row>
    <row r="4709" s="1" customFormat="1" customHeight="1" spans="1:6">
      <c r="A4709" s="9" t="str">
        <f>"10280115727"</f>
        <v>10280115727</v>
      </c>
      <c r="B4709" s="10">
        <v>41.17</v>
      </c>
      <c r="C4709" s="9"/>
      <c r="D4709" s="9">
        <f t="shared" si="73"/>
        <v>41.17</v>
      </c>
      <c r="E4709" s="11"/>
      <c r="F4709" s="9"/>
    </row>
    <row r="4710" s="1" customFormat="1" customHeight="1" spans="1:6">
      <c r="A4710" s="9" t="str">
        <f>"10360115728"</f>
        <v>10360115728</v>
      </c>
      <c r="B4710" s="10">
        <v>40.1</v>
      </c>
      <c r="C4710" s="9"/>
      <c r="D4710" s="9">
        <f t="shared" si="73"/>
        <v>40.1</v>
      </c>
      <c r="E4710" s="11"/>
      <c r="F4710" s="9"/>
    </row>
    <row r="4711" s="1" customFormat="1" customHeight="1" spans="1:6">
      <c r="A4711" s="9" t="str">
        <f>"10360115729"</f>
        <v>10360115729</v>
      </c>
      <c r="B4711" s="10">
        <v>32.98</v>
      </c>
      <c r="C4711" s="9"/>
      <c r="D4711" s="9">
        <f t="shared" si="73"/>
        <v>32.98</v>
      </c>
      <c r="E4711" s="11"/>
      <c r="F4711" s="9"/>
    </row>
    <row r="4712" s="1" customFormat="1" customHeight="1" spans="1:6">
      <c r="A4712" s="9" t="str">
        <f>"10210115730"</f>
        <v>10210115730</v>
      </c>
      <c r="B4712" s="10">
        <v>30.79</v>
      </c>
      <c r="C4712" s="9"/>
      <c r="D4712" s="9">
        <f t="shared" si="73"/>
        <v>30.79</v>
      </c>
      <c r="E4712" s="11"/>
      <c r="F4712" s="9"/>
    </row>
    <row r="4713" s="1" customFormat="1" customHeight="1" spans="1:6">
      <c r="A4713" s="9" t="str">
        <f>"10200115801"</f>
        <v>10200115801</v>
      </c>
      <c r="B4713" s="10">
        <v>0</v>
      </c>
      <c r="C4713" s="9"/>
      <c r="D4713" s="9">
        <f t="shared" si="73"/>
        <v>0</v>
      </c>
      <c r="E4713" s="11"/>
      <c r="F4713" s="9" t="s">
        <v>7</v>
      </c>
    </row>
    <row r="4714" s="1" customFormat="1" customHeight="1" spans="1:6">
      <c r="A4714" s="9" t="str">
        <f>"10140115802"</f>
        <v>10140115802</v>
      </c>
      <c r="B4714" s="10">
        <v>0</v>
      </c>
      <c r="C4714" s="9"/>
      <c r="D4714" s="9">
        <f t="shared" si="73"/>
        <v>0</v>
      </c>
      <c r="E4714" s="11"/>
      <c r="F4714" s="9" t="s">
        <v>7</v>
      </c>
    </row>
    <row r="4715" s="1" customFormat="1" customHeight="1" spans="1:6">
      <c r="A4715" s="9" t="str">
        <f>"10300115803"</f>
        <v>10300115803</v>
      </c>
      <c r="B4715" s="10">
        <v>44.02</v>
      </c>
      <c r="C4715" s="9"/>
      <c r="D4715" s="9">
        <f t="shared" si="73"/>
        <v>44.02</v>
      </c>
      <c r="E4715" s="11"/>
      <c r="F4715" s="9"/>
    </row>
    <row r="4716" s="1" customFormat="1" customHeight="1" spans="1:6">
      <c r="A4716" s="9" t="str">
        <f>"10240115804"</f>
        <v>10240115804</v>
      </c>
      <c r="B4716" s="10">
        <v>38.13</v>
      </c>
      <c r="C4716" s="9"/>
      <c r="D4716" s="9">
        <f t="shared" si="73"/>
        <v>38.13</v>
      </c>
      <c r="E4716" s="11"/>
      <c r="F4716" s="9"/>
    </row>
    <row r="4717" s="1" customFormat="1" customHeight="1" spans="1:6">
      <c r="A4717" s="9" t="str">
        <f>"10520115805"</f>
        <v>10520115805</v>
      </c>
      <c r="B4717" s="10">
        <v>34.59</v>
      </c>
      <c r="C4717" s="9"/>
      <c r="D4717" s="9">
        <f t="shared" si="73"/>
        <v>34.59</v>
      </c>
      <c r="E4717" s="11"/>
      <c r="F4717" s="9"/>
    </row>
    <row r="4718" s="1" customFormat="1" customHeight="1" spans="1:6">
      <c r="A4718" s="9" t="str">
        <f>"10290115806"</f>
        <v>10290115806</v>
      </c>
      <c r="B4718" s="10">
        <v>38.15</v>
      </c>
      <c r="C4718" s="9"/>
      <c r="D4718" s="9">
        <f t="shared" si="73"/>
        <v>38.15</v>
      </c>
      <c r="E4718" s="11"/>
      <c r="F4718" s="9"/>
    </row>
    <row r="4719" s="1" customFormat="1" customHeight="1" spans="1:6">
      <c r="A4719" s="9" t="str">
        <f>"10280115807"</f>
        <v>10280115807</v>
      </c>
      <c r="B4719" s="10">
        <v>0</v>
      </c>
      <c r="C4719" s="9"/>
      <c r="D4719" s="9">
        <f t="shared" si="73"/>
        <v>0</v>
      </c>
      <c r="E4719" s="11"/>
      <c r="F4719" s="9" t="s">
        <v>7</v>
      </c>
    </row>
    <row r="4720" s="1" customFormat="1" customHeight="1" spans="1:6">
      <c r="A4720" s="9" t="str">
        <f>"10080115808"</f>
        <v>10080115808</v>
      </c>
      <c r="B4720" s="10">
        <v>37.66</v>
      </c>
      <c r="C4720" s="9"/>
      <c r="D4720" s="9">
        <f t="shared" si="73"/>
        <v>37.66</v>
      </c>
      <c r="E4720" s="11"/>
      <c r="F4720" s="9"/>
    </row>
    <row r="4721" s="1" customFormat="1" customHeight="1" spans="1:6">
      <c r="A4721" s="9" t="str">
        <f>"10330115809"</f>
        <v>10330115809</v>
      </c>
      <c r="B4721" s="10">
        <v>45.68</v>
      </c>
      <c r="C4721" s="9"/>
      <c r="D4721" s="9">
        <f t="shared" si="73"/>
        <v>45.68</v>
      </c>
      <c r="E4721" s="11"/>
      <c r="F4721" s="9"/>
    </row>
    <row r="4722" s="1" customFormat="1" customHeight="1" spans="1:6">
      <c r="A4722" s="9" t="str">
        <f>"10360115810"</f>
        <v>10360115810</v>
      </c>
      <c r="B4722" s="10">
        <v>33.1</v>
      </c>
      <c r="C4722" s="9"/>
      <c r="D4722" s="9">
        <f t="shared" si="73"/>
        <v>33.1</v>
      </c>
      <c r="E4722" s="11"/>
      <c r="F4722" s="9"/>
    </row>
    <row r="4723" s="1" customFormat="1" customHeight="1" spans="1:6">
      <c r="A4723" s="9" t="str">
        <f>"10330115811"</f>
        <v>10330115811</v>
      </c>
      <c r="B4723" s="10">
        <v>0</v>
      </c>
      <c r="C4723" s="9"/>
      <c r="D4723" s="9">
        <f t="shared" si="73"/>
        <v>0</v>
      </c>
      <c r="E4723" s="11"/>
      <c r="F4723" s="9" t="s">
        <v>7</v>
      </c>
    </row>
    <row r="4724" s="1" customFormat="1" customHeight="1" spans="1:6">
      <c r="A4724" s="9" t="str">
        <f>"10530115812"</f>
        <v>10530115812</v>
      </c>
      <c r="B4724" s="10">
        <v>37.91</v>
      </c>
      <c r="C4724" s="9"/>
      <c r="D4724" s="9">
        <f t="shared" si="73"/>
        <v>37.91</v>
      </c>
      <c r="E4724" s="11"/>
      <c r="F4724" s="9"/>
    </row>
    <row r="4725" s="1" customFormat="1" customHeight="1" spans="1:6">
      <c r="A4725" s="9" t="str">
        <f>"10360115813"</f>
        <v>10360115813</v>
      </c>
      <c r="B4725" s="10">
        <v>0</v>
      </c>
      <c r="C4725" s="9"/>
      <c r="D4725" s="9">
        <f t="shared" si="73"/>
        <v>0</v>
      </c>
      <c r="E4725" s="11"/>
      <c r="F4725" s="9" t="s">
        <v>7</v>
      </c>
    </row>
    <row r="4726" s="1" customFormat="1" customHeight="1" spans="1:6">
      <c r="A4726" s="9" t="str">
        <f>"10130115814"</f>
        <v>10130115814</v>
      </c>
      <c r="B4726" s="10">
        <v>0</v>
      </c>
      <c r="C4726" s="9"/>
      <c r="D4726" s="9">
        <f t="shared" si="73"/>
        <v>0</v>
      </c>
      <c r="E4726" s="11"/>
      <c r="F4726" s="9" t="s">
        <v>7</v>
      </c>
    </row>
    <row r="4727" s="1" customFormat="1" customHeight="1" spans="1:6">
      <c r="A4727" s="9" t="str">
        <f>"10180115815"</f>
        <v>10180115815</v>
      </c>
      <c r="B4727" s="10">
        <v>45.24</v>
      </c>
      <c r="C4727" s="9"/>
      <c r="D4727" s="9">
        <f t="shared" si="73"/>
        <v>45.24</v>
      </c>
      <c r="E4727" s="11"/>
      <c r="F4727" s="9"/>
    </row>
    <row r="4728" s="1" customFormat="1" customHeight="1" spans="1:6">
      <c r="A4728" s="9" t="str">
        <f>"10520115816"</f>
        <v>10520115816</v>
      </c>
      <c r="B4728" s="10">
        <v>0</v>
      </c>
      <c r="C4728" s="9"/>
      <c r="D4728" s="9">
        <f t="shared" si="73"/>
        <v>0</v>
      </c>
      <c r="E4728" s="11"/>
      <c r="F4728" s="9" t="s">
        <v>7</v>
      </c>
    </row>
    <row r="4729" s="1" customFormat="1" customHeight="1" spans="1:6">
      <c r="A4729" s="9" t="str">
        <f>"10230115817"</f>
        <v>10230115817</v>
      </c>
      <c r="B4729" s="10">
        <v>36.83</v>
      </c>
      <c r="C4729" s="9"/>
      <c r="D4729" s="9">
        <f t="shared" si="73"/>
        <v>36.83</v>
      </c>
      <c r="E4729" s="11"/>
      <c r="F4729" s="9"/>
    </row>
    <row r="4730" s="1" customFormat="1" customHeight="1" spans="1:6">
      <c r="A4730" s="9" t="str">
        <f>"10020115818"</f>
        <v>10020115818</v>
      </c>
      <c r="B4730" s="10">
        <v>42.24</v>
      </c>
      <c r="C4730" s="9"/>
      <c r="D4730" s="9">
        <f t="shared" si="73"/>
        <v>42.24</v>
      </c>
      <c r="E4730" s="11"/>
      <c r="F4730" s="9"/>
    </row>
    <row r="4731" s="1" customFormat="1" customHeight="1" spans="1:6">
      <c r="A4731" s="9" t="str">
        <f>"10300115819"</f>
        <v>10300115819</v>
      </c>
      <c r="B4731" s="10">
        <v>41.04</v>
      </c>
      <c r="C4731" s="9"/>
      <c r="D4731" s="9">
        <f t="shared" si="73"/>
        <v>41.04</v>
      </c>
      <c r="E4731" s="11"/>
      <c r="F4731" s="9"/>
    </row>
    <row r="4732" s="1" customFormat="1" customHeight="1" spans="1:6">
      <c r="A4732" s="9" t="str">
        <f>"10440115820"</f>
        <v>10440115820</v>
      </c>
      <c r="B4732" s="10">
        <v>0</v>
      </c>
      <c r="C4732" s="9"/>
      <c r="D4732" s="9">
        <f t="shared" si="73"/>
        <v>0</v>
      </c>
      <c r="E4732" s="11"/>
      <c r="F4732" s="9" t="s">
        <v>7</v>
      </c>
    </row>
    <row r="4733" s="1" customFormat="1" customHeight="1" spans="1:6">
      <c r="A4733" s="9" t="str">
        <f>"10140115821"</f>
        <v>10140115821</v>
      </c>
      <c r="B4733" s="10">
        <v>0</v>
      </c>
      <c r="C4733" s="9"/>
      <c r="D4733" s="9">
        <f t="shared" si="73"/>
        <v>0</v>
      </c>
      <c r="E4733" s="11"/>
      <c r="F4733" s="9" t="s">
        <v>7</v>
      </c>
    </row>
    <row r="4734" s="1" customFormat="1" customHeight="1" spans="1:6">
      <c r="A4734" s="9" t="str">
        <f>"10200115822"</f>
        <v>10200115822</v>
      </c>
      <c r="B4734" s="10">
        <v>38.7</v>
      </c>
      <c r="C4734" s="9"/>
      <c r="D4734" s="9">
        <f t="shared" si="73"/>
        <v>38.7</v>
      </c>
      <c r="E4734" s="11"/>
      <c r="F4734" s="9"/>
    </row>
    <row r="4735" s="1" customFormat="1" customHeight="1" spans="1:6">
      <c r="A4735" s="9" t="str">
        <f>"10270115823"</f>
        <v>10270115823</v>
      </c>
      <c r="B4735" s="10">
        <v>0</v>
      </c>
      <c r="C4735" s="9"/>
      <c r="D4735" s="9">
        <f t="shared" si="73"/>
        <v>0</v>
      </c>
      <c r="E4735" s="11"/>
      <c r="F4735" s="9" t="s">
        <v>7</v>
      </c>
    </row>
    <row r="4736" s="1" customFormat="1" customHeight="1" spans="1:6">
      <c r="A4736" s="9" t="str">
        <f>"10510115824"</f>
        <v>10510115824</v>
      </c>
      <c r="B4736" s="10">
        <v>0</v>
      </c>
      <c r="C4736" s="9"/>
      <c r="D4736" s="9">
        <f t="shared" si="73"/>
        <v>0</v>
      </c>
      <c r="E4736" s="11"/>
      <c r="F4736" s="9" t="s">
        <v>7</v>
      </c>
    </row>
    <row r="4737" s="1" customFormat="1" customHeight="1" spans="1:6">
      <c r="A4737" s="9" t="str">
        <f>"10120115825"</f>
        <v>10120115825</v>
      </c>
      <c r="B4737" s="10">
        <v>49.59</v>
      </c>
      <c r="C4737" s="9"/>
      <c r="D4737" s="9">
        <f t="shared" si="73"/>
        <v>49.59</v>
      </c>
      <c r="E4737" s="11"/>
      <c r="F4737" s="9"/>
    </row>
    <row r="4738" s="1" customFormat="1" customHeight="1" spans="1:6">
      <c r="A4738" s="9" t="str">
        <f>"10170115826"</f>
        <v>10170115826</v>
      </c>
      <c r="B4738" s="10">
        <v>37.41</v>
      </c>
      <c r="C4738" s="9"/>
      <c r="D4738" s="9">
        <f t="shared" si="73"/>
        <v>37.41</v>
      </c>
      <c r="E4738" s="11"/>
      <c r="F4738" s="9"/>
    </row>
    <row r="4739" s="1" customFormat="1" customHeight="1" spans="1:6">
      <c r="A4739" s="9" t="str">
        <f>"10130115827"</f>
        <v>10130115827</v>
      </c>
      <c r="B4739" s="10">
        <v>0</v>
      </c>
      <c r="C4739" s="9"/>
      <c r="D4739" s="9">
        <f t="shared" ref="D4739:D4802" si="74">SUM(B4739:C4739)</f>
        <v>0</v>
      </c>
      <c r="E4739" s="11"/>
      <c r="F4739" s="9" t="s">
        <v>7</v>
      </c>
    </row>
    <row r="4740" s="1" customFormat="1" customHeight="1" spans="1:6">
      <c r="A4740" s="9" t="str">
        <f>"10120115828"</f>
        <v>10120115828</v>
      </c>
      <c r="B4740" s="10">
        <v>0</v>
      </c>
      <c r="C4740" s="9"/>
      <c r="D4740" s="9">
        <f t="shared" si="74"/>
        <v>0</v>
      </c>
      <c r="E4740" s="11"/>
      <c r="F4740" s="9" t="s">
        <v>7</v>
      </c>
    </row>
    <row r="4741" s="1" customFormat="1" customHeight="1" spans="1:6">
      <c r="A4741" s="9" t="str">
        <f>"10320115829"</f>
        <v>10320115829</v>
      </c>
      <c r="B4741" s="10">
        <v>41.33</v>
      </c>
      <c r="C4741" s="9"/>
      <c r="D4741" s="9">
        <f t="shared" si="74"/>
        <v>41.33</v>
      </c>
      <c r="E4741" s="11"/>
      <c r="F4741" s="9"/>
    </row>
    <row r="4742" s="1" customFormat="1" customHeight="1" spans="1:6">
      <c r="A4742" s="9" t="str">
        <f>"10110115830"</f>
        <v>10110115830</v>
      </c>
      <c r="B4742" s="10">
        <v>0</v>
      </c>
      <c r="C4742" s="9"/>
      <c r="D4742" s="9">
        <f t="shared" si="74"/>
        <v>0</v>
      </c>
      <c r="E4742" s="11"/>
      <c r="F4742" s="9" t="s">
        <v>7</v>
      </c>
    </row>
    <row r="4743" s="1" customFormat="1" customHeight="1" spans="1:6">
      <c r="A4743" s="9" t="str">
        <f>"10330115901"</f>
        <v>10330115901</v>
      </c>
      <c r="B4743" s="10">
        <v>37.91</v>
      </c>
      <c r="C4743" s="9"/>
      <c r="D4743" s="9">
        <f t="shared" si="74"/>
        <v>37.91</v>
      </c>
      <c r="E4743" s="11"/>
      <c r="F4743" s="9"/>
    </row>
    <row r="4744" s="1" customFormat="1" customHeight="1" spans="1:6">
      <c r="A4744" s="9" t="str">
        <f>"10070115902"</f>
        <v>10070115902</v>
      </c>
      <c r="B4744" s="10">
        <v>0</v>
      </c>
      <c r="C4744" s="9"/>
      <c r="D4744" s="9">
        <f t="shared" si="74"/>
        <v>0</v>
      </c>
      <c r="E4744" s="11"/>
      <c r="F4744" s="9" t="s">
        <v>7</v>
      </c>
    </row>
    <row r="4745" s="1" customFormat="1" customHeight="1" spans="1:6">
      <c r="A4745" s="9" t="str">
        <f>"20180115903"</f>
        <v>20180115903</v>
      </c>
      <c r="B4745" s="10">
        <v>0</v>
      </c>
      <c r="C4745" s="9"/>
      <c r="D4745" s="9">
        <f t="shared" si="74"/>
        <v>0</v>
      </c>
      <c r="E4745" s="11"/>
      <c r="F4745" s="9" t="s">
        <v>7</v>
      </c>
    </row>
    <row r="4746" s="1" customFormat="1" customHeight="1" spans="1:6">
      <c r="A4746" s="9" t="str">
        <f>"10210115904"</f>
        <v>10210115904</v>
      </c>
      <c r="B4746" s="10">
        <v>0</v>
      </c>
      <c r="C4746" s="9"/>
      <c r="D4746" s="9">
        <f t="shared" si="74"/>
        <v>0</v>
      </c>
      <c r="E4746" s="11"/>
      <c r="F4746" s="9" t="s">
        <v>7</v>
      </c>
    </row>
    <row r="4747" s="1" customFormat="1" customHeight="1" spans="1:6">
      <c r="A4747" s="9" t="str">
        <f>"10140115905"</f>
        <v>10140115905</v>
      </c>
      <c r="B4747" s="10">
        <v>42.71</v>
      </c>
      <c r="C4747" s="9"/>
      <c r="D4747" s="9">
        <f t="shared" si="74"/>
        <v>42.71</v>
      </c>
      <c r="E4747" s="11"/>
      <c r="F4747" s="9"/>
    </row>
    <row r="4748" s="1" customFormat="1" customHeight="1" spans="1:6">
      <c r="A4748" s="9" t="str">
        <f>"10510115906"</f>
        <v>10510115906</v>
      </c>
      <c r="B4748" s="10">
        <v>39.2</v>
      </c>
      <c r="C4748" s="9"/>
      <c r="D4748" s="9">
        <f t="shared" si="74"/>
        <v>39.2</v>
      </c>
      <c r="E4748" s="11"/>
      <c r="F4748" s="9"/>
    </row>
    <row r="4749" s="1" customFormat="1" customHeight="1" spans="1:6">
      <c r="A4749" s="9" t="str">
        <f>"10330115907"</f>
        <v>10330115907</v>
      </c>
      <c r="B4749" s="10">
        <v>41.26</v>
      </c>
      <c r="C4749" s="9"/>
      <c r="D4749" s="9">
        <f t="shared" si="74"/>
        <v>41.26</v>
      </c>
      <c r="E4749" s="11"/>
      <c r="F4749" s="9"/>
    </row>
    <row r="4750" s="1" customFormat="1" customHeight="1" spans="1:6">
      <c r="A4750" s="9" t="str">
        <f>"10280115908"</f>
        <v>10280115908</v>
      </c>
      <c r="B4750" s="10">
        <v>45.39</v>
      </c>
      <c r="C4750" s="9"/>
      <c r="D4750" s="9">
        <f t="shared" si="74"/>
        <v>45.39</v>
      </c>
      <c r="E4750" s="11"/>
      <c r="F4750" s="9"/>
    </row>
    <row r="4751" s="1" customFormat="1" customHeight="1" spans="1:6">
      <c r="A4751" s="9" t="str">
        <f>"10340115909"</f>
        <v>10340115909</v>
      </c>
      <c r="B4751" s="10">
        <v>48.13</v>
      </c>
      <c r="C4751" s="9"/>
      <c r="D4751" s="9">
        <f t="shared" si="74"/>
        <v>48.13</v>
      </c>
      <c r="E4751" s="11"/>
      <c r="F4751" s="9"/>
    </row>
    <row r="4752" s="1" customFormat="1" customHeight="1" spans="1:6">
      <c r="A4752" s="9" t="str">
        <f>"10210115910"</f>
        <v>10210115910</v>
      </c>
      <c r="B4752" s="10">
        <v>0</v>
      </c>
      <c r="C4752" s="9"/>
      <c r="D4752" s="9">
        <f t="shared" si="74"/>
        <v>0</v>
      </c>
      <c r="E4752" s="11"/>
      <c r="F4752" s="9" t="s">
        <v>7</v>
      </c>
    </row>
    <row r="4753" s="1" customFormat="1" customHeight="1" spans="1:6">
      <c r="A4753" s="9" t="str">
        <f>"10300115911"</f>
        <v>10300115911</v>
      </c>
      <c r="B4753" s="10">
        <v>44.78</v>
      </c>
      <c r="C4753" s="9"/>
      <c r="D4753" s="9">
        <f t="shared" si="74"/>
        <v>44.78</v>
      </c>
      <c r="E4753" s="11"/>
      <c r="F4753" s="9"/>
    </row>
    <row r="4754" s="1" customFormat="1" customHeight="1" spans="1:6">
      <c r="A4754" s="9" t="str">
        <f>"10500115912"</f>
        <v>10500115912</v>
      </c>
      <c r="B4754" s="10">
        <v>29</v>
      </c>
      <c r="C4754" s="9"/>
      <c r="D4754" s="9">
        <f t="shared" si="74"/>
        <v>29</v>
      </c>
      <c r="E4754" s="11"/>
      <c r="F4754" s="9"/>
    </row>
    <row r="4755" s="1" customFormat="1" customHeight="1" spans="1:6">
      <c r="A4755" s="9" t="str">
        <f>"10050115913"</f>
        <v>10050115913</v>
      </c>
      <c r="B4755" s="10">
        <v>46.91</v>
      </c>
      <c r="C4755" s="9"/>
      <c r="D4755" s="9">
        <f t="shared" si="74"/>
        <v>46.91</v>
      </c>
      <c r="E4755" s="11"/>
      <c r="F4755" s="9"/>
    </row>
    <row r="4756" s="1" customFormat="1" customHeight="1" spans="1:6">
      <c r="A4756" s="9" t="str">
        <f>"20180115914"</f>
        <v>20180115914</v>
      </c>
      <c r="B4756" s="10">
        <v>0</v>
      </c>
      <c r="C4756" s="9"/>
      <c r="D4756" s="9">
        <f t="shared" si="74"/>
        <v>0</v>
      </c>
      <c r="E4756" s="11"/>
      <c r="F4756" s="9" t="s">
        <v>7</v>
      </c>
    </row>
    <row r="4757" s="1" customFormat="1" customHeight="1" spans="1:6">
      <c r="A4757" s="9" t="str">
        <f>"10510115915"</f>
        <v>10510115915</v>
      </c>
      <c r="B4757" s="10">
        <v>41.92</v>
      </c>
      <c r="C4757" s="9"/>
      <c r="D4757" s="9">
        <f t="shared" si="74"/>
        <v>41.92</v>
      </c>
      <c r="E4757" s="11"/>
      <c r="F4757" s="9"/>
    </row>
    <row r="4758" s="1" customFormat="1" customHeight="1" spans="1:6">
      <c r="A4758" s="9" t="str">
        <f>"10230115916"</f>
        <v>10230115916</v>
      </c>
      <c r="B4758" s="10">
        <v>0</v>
      </c>
      <c r="C4758" s="9"/>
      <c r="D4758" s="9">
        <f t="shared" si="74"/>
        <v>0</v>
      </c>
      <c r="E4758" s="11"/>
      <c r="F4758" s="9" t="s">
        <v>7</v>
      </c>
    </row>
    <row r="4759" s="1" customFormat="1" customHeight="1" spans="1:6">
      <c r="A4759" s="9" t="str">
        <f>"10360115917"</f>
        <v>10360115917</v>
      </c>
      <c r="B4759" s="10">
        <v>40.03</v>
      </c>
      <c r="C4759" s="9"/>
      <c r="D4759" s="9">
        <f t="shared" si="74"/>
        <v>40.03</v>
      </c>
      <c r="E4759" s="11"/>
      <c r="F4759" s="9"/>
    </row>
    <row r="4760" s="1" customFormat="1" customHeight="1" spans="1:6">
      <c r="A4760" s="9" t="str">
        <f>"10070115918"</f>
        <v>10070115918</v>
      </c>
      <c r="B4760" s="10">
        <v>43.99</v>
      </c>
      <c r="C4760" s="9"/>
      <c r="D4760" s="9">
        <f t="shared" si="74"/>
        <v>43.99</v>
      </c>
      <c r="E4760" s="11"/>
      <c r="F4760" s="9"/>
    </row>
    <row r="4761" s="1" customFormat="1" customHeight="1" spans="1:6">
      <c r="A4761" s="9" t="str">
        <f>"10430115919"</f>
        <v>10430115919</v>
      </c>
      <c r="B4761" s="10">
        <v>42.23</v>
      </c>
      <c r="C4761" s="9"/>
      <c r="D4761" s="9">
        <f t="shared" si="74"/>
        <v>42.23</v>
      </c>
      <c r="E4761" s="11"/>
      <c r="F4761" s="9"/>
    </row>
    <row r="4762" s="1" customFormat="1" customHeight="1" spans="1:6">
      <c r="A4762" s="9" t="str">
        <f>"10360115920"</f>
        <v>10360115920</v>
      </c>
      <c r="B4762" s="10">
        <v>27.59</v>
      </c>
      <c r="C4762" s="9"/>
      <c r="D4762" s="9">
        <f t="shared" si="74"/>
        <v>27.59</v>
      </c>
      <c r="E4762" s="11"/>
      <c r="F4762" s="9"/>
    </row>
    <row r="4763" s="1" customFormat="1" customHeight="1" spans="1:6">
      <c r="A4763" s="9" t="str">
        <f>"10500115921"</f>
        <v>10500115921</v>
      </c>
      <c r="B4763" s="10">
        <v>0</v>
      </c>
      <c r="C4763" s="9"/>
      <c r="D4763" s="9">
        <f t="shared" si="74"/>
        <v>0</v>
      </c>
      <c r="E4763" s="11"/>
      <c r="F4763" s="9" t="s">
        <v>7</v>
      </c>
    </row>
    <row r="4764" s="1" customFormat="1" customHeight="1" spans="1:6">
      <c r="A4764" s="9" t="str">
        <f>"10490115922"</f>
        <v>10490115922</v>
      </c>
      <c r="B4764" s="10">
        <v>0</v>
      </c>
      <c r="C4764" s="9"/>
      <c r="D4764" s="9">
        <f t="shared" si="74"/>
        <v>0</v>
      </c>
      <c r="E4764" s="11"/>
      <c r="F4764" s="9" t="s">
        <v>7</v>
      </c>
    </row>
    <row r="4765" s="1" customFormat="1" customHeight="1" spans="1:6">
      <c r="A4765" s="9" t="str">
        <f>"10330115923"</f>
        <v>10330115923</v>
      </c>
      <c r="B4765" s="10">
        <v>44.5</v>
      </c>
      <c r="C4765" s="9"/>
      <c r="D4765" s="9">
        <f t="shared" si="74"/>
        <v>44.5</v>
      </c>
      <c r="E4765" s="11"/>
      <c r="F4765" s="9"/>
    </row>
    <row r="4766" s="1" customFormat="1" customHeight="1" spans="1:6">
      <c r="A4766" s="9" t="str">
        <f>"10140115924"</f>
        <v>10140115924</v>
      </c>
      <c r="B4766" s="10">
        <v>35.51</v>
      </c>
      <c r="C4766" s="9"/>
      <c r="D4766" s="9">
        <f t="shared" si="74"/>
        <v>35.51</v>
      </c>
      <c r="E4766" s="11"/>
      <c r="F4766" s="9"/>
    </row>
    <row r="4767" s="1" customFormat="1" customHeight="1" spans="1:6">
      <c r="A4767" s="9" t="str">
        <f>"10070115925"</f>
        <v>10070115925</v>
      </c>
      <c r="B4767" s="10">
        <v>42.5</v>
      </c>
      <c r="C4767" s="9"/>
      <c r="D4767" s="9">
        <f t="shared" si="74"/>
        <v>42.5</v>
      </c>
      <c r="E4767" s="11"/>
      <c r="F4767" s="9"/>
    </row>
    <row r="4768" s="1" customFormat="1" customHeight="1" spans="1:6">
      <c r="A4768" s="9" t="str">
        <f>"10300115926"</f>
        <v>10300115926</v>
      </c>
      <c r="B4768" s="10">
        <v>33.09</v>
      </c>
      <c r="C4768" s="9"/>
      <c r="D4768" s="9">
        <f t="shared" si="74"/>
        <v>33.09</v>
      </c>
      <c r="E4768" s="11"/>
      <c r="F4768" s="9"/>
    </row>
    <row r="4769" s="1" customFormat="1" customHeight="1" spans="1:6">
      <c r="A4769" s="9" t="str">
        <f>"10160115927"</f>
        <v>10160115927</v>
      </c>
      <c r="B4769" s="10">
        <v>43.97</v>
      </c>
      <c r="C4769" s="9"/>
      <c r="D4769" s="9">
        <f t="shared" si="74"/>
        <v>43.97</v>
      </c>
      <c r="E4769" s="11"/>
      <c r="F4769" s="9"/>
    </row>
    <row r="4770" s="1" customFormat="1" customHeight="1" spans="1:6">
      <c r="A4770" s="9" t="str">
        <f>"10470115928"</f>
        <v>10470115928</v>
      </c>
      <c r="B4770" s="10">
        <v>46.09</v>
      </c>
      <c r="C4770" s="9"/>
      <c r="D4770" s="9">
        <f t="shared" si="74"/>
        <v>46.09</v>
      </c>
      <c r="E4770" s="11"/>
      <c r="F4770" s="9"/>
    </row>
    <row r="4771" s="1" customFormat="1" customHeight="1" spans="1:6">
      <c r="A4771" s="9" t="str">
        <f>"10440115929"</f>
        <v>10440115929</v>
      </c>
      <c r="B4771" s="10">
        <v>0</v>
      </c>
      <c r="C4771" s="9"/>
      <c r="D4771" s="9">
        <f t="shared" si="74"/>
        <v>0</v>
      </c>
      <c r="E4771" s="11"/>
      <c r="F4771" s="9" t="s">
        <v>7</v>
      </c>
    </row>
    <row r="4772" s="1" customFormat="1" customHeight="1" spans="1:6">
      <c r="A4772" s="9" t="str">
        <f>"10360115930"</f>
        <v>10360115930</v>
      </c>
      <c r="B4772" s="10">
        <v>0</v>
      </c>
      <c r="C4772" s="9"/>
      <c r="D4772" s="9">
        <f t="shared" si="74"/>
        <v>0</v>
      </c>
      <c r="E4772" s="11"/>
      <c r="F4772" s="9" t="s">
        <v>7</v>
      </c>
    </row>
    <row r="4773" s="1" customFormat="1" customHeight="1" spans="1:6">
      <c r="A4773" s="9" t="str">
        <f>"10180116001"</f>
        <v>10180116001</v>
      </c>
      <c r="B4773" s="10">
        <v>0</v>
      </c>
      <c r="C4773" s="9"/>
      <c r="D4773" s="9">
        <f t="shared" si="74"/>
        <v>0</v>
      </c>
      <c r="E4773" s="11"/>
      <c r="F4773" s="9" t="s">
        <v>7</v>
      </c>
    </row>
    <row r="4774" s="1" customFormat="1" customHeight="1" spans="1:6">
      <c r="A4774" s="9" t="str">
        <f>"10500116002"</f>
        <v>10500116002</v>
      </c>
      <c r="B4774" s="10">
        <v>32.72</v>
      </c>
      <c r="C4774" s="9"/>
      <c r="D4774" s="9">
        <f t="shared" si="74"/>
        <v>32.72</v>
      </c>
      <c r="E4774" s="11"/>
      <c r="F4774" s="9"/>
    </row>
    <row r="4775" s="1" customFormat="1" customHeight="1" spans="1:6">
      <c r="A4775" s="9" t="str">
        <f>"10380116003"</f>
        <v>10380116003</v>
      </c>
      <c r="B4775" s="10">
        <v>42.81</v>
      </c>
      <c r="C4775" s="9"/>
      <c r="D4775" s="9">
        <f t="shared" si="74"/>
        <v>42.81</v>
      </c>
      <c r="E4775" s="11"/>
      <c r="F4775" s="9"/>
    </row>
    <row r="4776" s="1" customFormat="1" customHeight="1" spans="1:6">
      <c r="A4776" s="9" t="str">
        <f>"10360116004"</f>
        <v>10360116004</v>
      </c>
      <c r="B4776" s="10">
        <v>36.56</v>
      </c>
      <c r="C4776" s="9"/>
      <c r="D4776" s="9">
        <f t="shared" si="74"/>
        <v>36.56</v>
      </c>
      <c r="E4776" s="11"/>
      <c r="F4776" s="9"/>
    </row>
    <row r="4777" s="1" customFormat="1" customHeight="1" spans="1:6">
      <c r="A4777" s="9" t="str">
        <f>"10060116005"</f>
        <v>10060116005</v>
      </c>
      <c r="B4777" s="10">
        <v>45.59</v>
      </c>
      <c r="C4777" s="9"/>
      <c r="D4777" s="9">
        <f t="shared" si="74"/>
        <v>45.59</v>
      </c>
      <c r="E4777" s="11"/>
      <c r="F4777" s="9"/>
    </row>
    <row r="4778" s="1" customFormat="1" customHeight="1" spans="1:6">
      <c r="A4778" s="9" t="str">
        <f>"10210116006"</f>
        <v>10210116006</v>
      </c>
      <c r="B4778" s="10">
        <v>38.77</v>
      </c>
      <c r="C4778" s="9"/>
      <c r="D4778" s="9">
        <f t="shared" si="74"/>
        <v>38.77</v>
      </c>
      <c r="E4778" s="11"/>
      <c r="F4778" s="9"/>
    </row>
    <row r="4779" s="1" customFormat="1" customHeight="1" spans="1:6">
      <c r="A4779" s="9" t="str">
        <f>"10330116007"</f>
        <v>10330116007</v>
      </c>
      <c r="B4779" s="10">
        <v>46.37</v>
      </c>
      <c r="C4779" s="9"/>
      <c r="D4779" s="9">
        <f t="shared" si="74"/>
        <v>46.37</v>
      </c>
      <c r="E4779" s="11"/>
      <c r="F4779" s="9"/>
    </row>
    <row r="4780" s="1" customFormat="1" customHeight="1" spans="1:6">
      <c r="A4780" s="9" t="str">
        <f>"10110116008"</f>
        <v>10110116008</v>
      </c>
      <c r="B4780" s="10">
        <v>0</v>
      </c>
      <c r="C4780" s="9"/>
      <c r="D4780" s="9">
        <f t="shared" si="74"/>
        <v>0</v>
      </c>
      <c r="E4780" s="11"/>
      <c r="F4780" s="9" t="s">
        <v>7</v>
      </c>
    </row>
    <row r="4781" s="1" customFormat="1" customHeight="1" spans="1:6">
      <c r="A4781" s="9" t="str">
        <f>"10360116009"</f>
        <v>10360116009</v>
      </c>
      <c r="B4781" s="10">
        <v>0</v>
      </c>
      <c r="C4781" s="9"/>
      <c r="D4781" s="9">
        <f t="shared" si="74"/>
        <v>0</v>
      </c>
      <c r="E4781" s="11"/>
      <c r="F4781" s="9" t="s">
        <v>7</v>
      </c>
    </row>
    <row r="4782" s="1" customFormat="1" customHeight="1" spans="1:6">
      <c r="A4782" s="9" t="str">
        <f>"10360116010"</f>
        <v>10360116010</v>
      </c>
      <c r="B4782" s="10">
        <v>46.41</v>
      </c>
      <c r="C4782" s="9"/>
      <c r="D4782" s="9">
        <f t="shared" si="74"/>
        <v>46.41</v>
      </c>
      <c r="E4782" s="11"/>
      <c r="F4782" s="9"/>
    </row>
    <row r="4783" s="1" customFormat="1" customHeight="1" spans="1:6">
      <c r="A4783" s="9" t="str">
        <f>"10010116011"</f>
        <v>10010116011</v>
      </c>
      <c r="B4783" s="10">
        <v>0</v>
      </c>
      <c r="C4783" s="9"/>
      <c r="D4783" s="9">
        <f t="shared" si="74"/>
        <v>0</v>
      </c>
      <c r="E4783" s="11"/>
      <c r="F4783" s="9" t="s">
        <v>7</v>
      </c>
    </row>
    <row r="4784" s="1" customFormat="1" customHeight="1" spans="1:6">
      <c r="A4784" s="9" t="str">
        <f>"10510116012"</f>
        <v>10510116012</v>
      </c>
      <c r="B4784" s="10">
        <v>34.91</v>
      </c>
      <c r="C4784" s="9"/>
      <c r="D4784" s="9">
        <f t="shared" si="74"/>
        <v>34.91</v>
      </c>
      <c r="E4784" s="11"/>
      <c r="F4784" s="9"/>
    </row>
    <row r="4785" s="1" customFormat="1" customHeight="1" spans="1:6">
      <c r="A4785" s="9" t="str">
        <f>"10360116013"</f>
        <v>10360116013</v>
      </c>
      <c r="B4785" s="10">
        <v>33.65</v>
      </c>
      <c r="C4785" s="9"/>
      <c r="D4785" s="9">
        <f t="shared" si="74"/>
        <v>33.65</v>
      </c>
      <c r="E4785" s="11"/>
      <c r="F4785" s="9"/>
    </row>
    <row r="4786" s="1" customFormat="1" customHeight="1" spans="1:6">
      <c r="A4786" s="9" t="str">
        <f>"10360116014"</f>
        <v>10360116014</v>
      </c>
      <c r="B4786" s="10">
        <v>30.85</v>
      </c>
      <c r="C4786" s="9"/>
      <c r="D4786" s="9">
        <f t="shared" si="74"/>
        <v>30.85</v>
      </c>
      <c r="E4786" s="11"/>
      <c r="F4786" s="9"/>
    </row>
    <row r="4787" s="1" customFormat="1" customHeight="1" spans="1:6">
      <c r="A4787" s="9" t="str">
        <f>"10100116015"</f>
        <v>10100116015</v>
      </c>
      <c r="B4787" s="10">
        <v>38.2</v>
      </c>
      <c r="C4787" s="9"/>
      <c r="D4787" s="9">
        <f t="shared" si="74"/>
        <v>38.2</v>
      </c>
      <c r="E4787" s="11"/>
      <c r="F4787" s="9"/>
    </row>
    <row r="4788" s="1" customFormat="1" customHeight="1" spans="1:6">
      <c r="A4788" s="9" t="str">
        <f>"10510116016"</f>
        <v>10510116016</v>
      </c>
      <c r="B4788" s="10">
        <v>0</v>
      </c>
      <c r="C4788" s="9"/>
      <c r="D4788" s="9">
        <f t="shared" si="74"/>
        <v>0</v>
      </c>
      <c r="E4788" s="11"/>
      <c r="F4788" s="9" t="s">
        <v>7</v>
      </c>
    </row>
    <row r="4789" s="1" customFormat="1" customHeight="1" spans="1:6">
      <c r="A4789" s="9" t="str">
        <f>"10360116017"</f>
        <v>10360116017</v>
      </c>
      <c r="B4789" s="10">
        <v>35.91</v>
      </c>
      <c r="C4789" s="9"/>
      <c r="D4789" s="9">
        <f t="shared" si="74"/>
        <v>35.91</v>
      </c>
      <c r="E4789" s="11"/>
      <c r="F4789" s="9"/>
    </row>
    <row r="4790" s="1" customFormat="1" customHeight="1" spans="1:6">
      <c r="A4790" s="9" t="str">
        <f>"10360116018"</f>
        <v>10360116018</v>
      </c>
      <c r="B4790" s="10">
        <v>0</v>
      </c>
      <c r="C4790" s="9"/>
      <c r="D4790" s="9">
        <f t="shared" si="74"/>
        <v>0</v>
      </c>
      <c r="E4790" s="11"/>
      <c r="F4790" s="9" t="s">
        <v>7</v>
      </c>
    </row>
    <row r="4791" s="1" customFormat="1" customHeight="1" spans="1:6">
      <c r="A4791" s="9" t="str">
        <f>"10360116019"</f>
        <v>10360116019</v>
      </c>
      <c r="B4791" s="10">
        <v>0</v>
      </c>
      <c r="C4791" s="9"/>
      <c r="D4791" s="9">
        <f t="shared" si="74"/>
        <v>0</v>
      </c>
      <c r="E4791" s="11"/>
      <c r="F4791" s="9" t="s">
        <v>7</v>
      </c>
    </row>
    <row r="4792" s="1" customFormat="1" customHeight="1" spans="1:6">
      <c r="A4792" s="9" t="str">
        <f>"10360116020"</f>
        <v>10360116020</v>
      </c>
      <c r="B4792" s="10">
        <v>38.82</v>
      </c>
      <c r="C4792" s="9"/>
      <c r="D4792" s="9">
        <f t="shared" si="74"/>
        <v>38.82</v>
      </c>
      <c r="E4792" s="11"/>
      <c r="F4792" s="9"/>
    </row>
    <row r="4793" s="1" customFormat="1" customHeight="1" spans="1:6">
      <c r="A4793" s="9" t="str">
        <f>"10360116021"</f>
        <v>10360116021</v>
      </c>
      <c r="B4793" s="10">
        <v>0</v>
      </c>
      <c r="C4793" s="9"/>
      <c r="D4793" s="9">
        <f t="shared" si="74"/>
        <v>0</v>
      </c>
      <c r="E4793" s="11"/>
      <c r="F4793" s="9" t="s">
        <v>7</v>
      </c>
    </row>
    <row r="4794" s="1" customFormat="1" customHeight="1" spans="1:6">
      <c r="A4794" s="9" t="str">
        <f>"10400116022"</f>
        <v>10400116022</v>
      </c>
      <c r="B4794" s="10">
        <v>0</v>
      </c>
      <c r="C4794" s="9"/>
      <c r="D4794" s="9">
        <f t="shared" si="74"/>
        <v>0</v>
      </c>
      <c r="E4794" s="11"/>
      <c r="F4794" s="9" t="s">
        <v>7</v>
      </c>
    </row>
    <row r="4795" s="1" customFormat="1" customHeight="1" spans="1:6">
      <c r="A4795" s="9" t="str">
        <f>"10360116023"</f>
        <v>10360116023</v>
      </c>
      <c r="B4795" s="10">
        <v>0</v>
      </c>
      <c r="C4795" s="9"/>
      <c r="D4795" s="9">
        <f t="shared" si="74"/>
        <v>0</v>
      </c>
      <c r="E4795" s="11"/>
      <c r="F4795" s="9" t="s">
        <v>7</v>
      </c>
    </row>
    <row r="4796" s="1" customFormat="1" customHeight="1" spans="1:6">
      <c r="A4796" s="9" t="str">
        <f>"10180116024"</f>
        <v>10180116024</v>
      </c>
      <c r="B4796" s="10">
        <v>43.49</v>
      </c>
      <c r="C4796" s="9"/>
      <c r="D4796" s="9">
        <f t="shared" si="74"/>
        <v>43.49</v>
      </c>
      <c r="E4796" s="11"/>
      <c r="F4796" s="9"/>
    </row>
    <row r="4797" s="1" customFormat="1" customHeight="1" spans="1:6">
      <c r="A4797" s="9" t="str">
        <f>"10480116025"</f>
        <v>10480116025</v>
      </c>
      <c r="B4797" s="10">
        <v>37.96</v>
      </c>
      <c r="C4797" s="9"/>
      <c r="D4797" s="9">
        <f t="shared" si="74"/>
        <v>37.96</v>
      </c>
      <c r="E4797" s="11"/>
      <c r="F4797" s="9"/>
    </row>
    <row r="4798" s="1" customFormat="1" customHeight="1" spans="1:6">
      <c r="A4798" s="9" t="str">
        <f>"10440116026"</f>
        <v>10440116026</v>
      </c>
      <c r="B4798" s="10">
        <v>45.45</v>
      </c>
      <c r="C4798" s="9"/>
      <c r="D4798" s="9">
        <f t="shared" si="74"/>
        <v>45.45</v>
      </c>
      <c r="E4798" s="11"/>
      <c r="F4798" s="9"/>
    </row>
    <row r="4799" s="1" customFormat="1" customHeight="1" spans="1:6">
      <c r="A4799" s="9" t="str">
        <f>"10230116027"</f>
        <v>10230116027</v>
      </c>
      <c r="B4799" s="10">
        <v>0</v>
      </c>
      <c r="C4799" s="9"/>
      <c r="D4799" s="9">
        <f t="shared" si="74"/>
        <v>0</v>
      </c>
      <c r="E4799" s="11"/>
      <c r="F4799" s="9" t="s">
        <v>7</v>
      </c>
    </row>
    <row r="4800" s="1" customFormat="1" customHeight="1" spans="1:6">
      <c r="A4800" s="9" t="str">
        <f>"10130116028"</f>
        <v>10130116028</v>
      </c>
      <c r="B4800" s="10">
        <v>39.2</v>
      </c>
      <c r="C4800" s="9"/>
      <c r="D4800" s="9">
        <f t="shared" si="74"/>
        <v>39.2</v>
      </c>
      <c r="E4800" s="11"/>
      <c r="F4800" s="9"/>
    </row>
    <row r="4801" s="1" customFormat="1" customHeight="1" spans="1:6">
      <c r="A4801" s="9" t="str">
        <f>"10360116029"</f>
        <v>10360116029</v>
      </c>
      <c r="B4801" s="10">
        <v>0</v>
      </c>
      <c r="C4801" s="9"/>
      <c r="D4801" s="9">
        <f t="shared" si="74"/>
        <v>0</v>
      </c>
      <c r="E4801" s="11"/>
      <c r="F4801" s="9" t="s">
        <v>7</v>
      </c>
    </row>
    <row r="4802" s="1" customFormat="1" customHeight="1" spans="1:6">
      <c r="A4802" s="9" t="str">
        <f>"10410116030"</f>
        <v>10410116030</v>
      </c>
      <c r="B4802" s="10">
        <v>39.05</v>
      </c>
      <c r="C4802" s="9"/>
      <c r="D4802" s="9">
        <f t="shared" si="74"/>
        <v>39.05</v>
      </c>
      <c r="E4802" s="11"/>
      <c r="F4802" s="9"/>
    </row>
    <row r="4803" s="1" customFormat="1" customHeight="1" spans="1:6">
      <c r="A4803" s="9" t="str">
        <f>"10360116101"</f>
        <v>10360116101</v>
      </c>
      <c r="B4803" s="10">
        <v>49.41</v>
      </c>
      <c r="C4803" s="9"/>
      <c r="D4803" s="9">
        <f t="shared" ref="D4803:D4866" si="75">SUM(B4803:C4803)</f>
        <v>49.41</v>
      </c>
      <c r="E4803" s="11"/>
      <c r="F4803" s="9"/>
    </row>
    <row r="4804" s="1" customFormat="1" customHeight="1" spans="1:6">
      <c r="A4804" s="9" t="str">
        <f>"10330116102"</f>
        <v>10330116102</v>
      </c>
      <c r="B4804" s="10">
        <v>0</v>
      </c>
      <c r="C4804" s="9"/>
      <c r="D4804" s="9">
        <f t="shared" si="75"/>
        <v>0</v>
      </c>
      <c r="E4804" s="11"/>
      <c r="F4804" s="9" t="s">
        <v>7</v>
      </c>
    </row>
    <row r="4805" s="1" customFormat="1" customHeight="1" spans="1:6">
      <c r="A4805" s="9" t="str">
        <f>"10370116103"</f>
        <v>10370116103</v>
      </c>
      <c r="B4805" s="10">
        <v>31.09</v>
      </c>
      <c r="C4805" s="9"/>
      <c r="D4805" s="9">
        <f t="shared" si="75"/>
        <v>31.09</v>
      </c>
      <c r="E4805" s="11"/>
      <c r="F4805" s="9"/>
    </row>
    <row r="4806" s="1" customFormat="1" customHeight="1" spans="1:6">
      <c r="A4806" s="9" t="str">
        <f>"10360116104"</f>
        <v>10360116104</v>
      </c>
      <c r="B4806" s="10">
        <v>31.6</v>
      </c>
      <c r="C4806" s="9"/>
      <c r="D4806" s="9">
        <f t="shared" si="75"/>
        <v>31.6</v>
      </c>
      <c r="E4806" s="11"/>
      <c r="F4806" s="9"/>
    </row>
    <row r="4807" s="1" customFormat="1" customHeight="1" spans="1:6">
      <c r="A4807" s="9" t="str">
        <f>"10180116105"</f>
        <v>10180116105</v>
      </c>
      <c r="B4807" s="10">
        <v>0</v>
      </c>
      <c r="C4807" s="9"/>
      <c r="D4807" s="9">
        <f t="shared" si="75"/>
        <v>0</v>
      </c>
      <c r="E4807" s="11"/>
      <c r="F4807" s="9" t="s">
        <v>7</v>
      </c>
    </row>
    <row r="4808" s="1" customFormat="1" customHeight="1" spans="1:6">
      <c r="A4808" s="9" t="str">
        <f>"10020116106"</f>
        <v>10020116106</v>
      </c>
      <c r="B4808" s="10">
        <v>44.01</v>
      </c>
      <c r="C4808" s="9"/>
      <c r="D4808" s="9">
        <f t="shared" si="75"/>
        <v>44.01</v>
      </c>
      <c r="E4808" s="11"/>
      <c r="F4808" s="9"/>
    </row>
    <row r="4809" s="1" customFormat="1" customHeight="1" spans="1:6">
      <c r="A4809" s="9" t="str">
        <f>"10500116107"</f>
        <v>10500116107</v>
      </c>
      <c r="B4809" s="10">
        <v>0</v>
      </c>
      <c r="C4809" s="9"/>
      <c r="D4809" s="9">
        <f t="shared" si="75"/>
        <v>0</v>
      </c>
      <c r="E4809" s="11"/>
      <c r="F4809" s="9" t="s">
        <v>7</v>
      </c>
    </row>
    <row r="4810" s="1" customFormat="1" customHeight="1" spans="1:6">
      <c r="A4810" s="9" t="str">
        <f>"10490116108"</f>
        <v>10490116108</v>
      </c>
      <c r="B4810" s="10">
        <v>38.29</v>
      </c>
      <c r="C4810" s="9"/>
      <c r="D4810" s="9">
        <f t="shared" si="75"/>
        <v>38.29</v>
      </c>
      <c r="E4810" s="11"/>
      <c r="F4810" s="9"/>
    </row>
    <row r="4811" s="1" customFormat="1" customHeight="1" spans="1:6">
      <c r="A4811" s="9" t="str">
        <f>"10440116109"</f>
        <v>10440116109</v>
      </c>
      <c r="B4811" s="10">
        <v>36.41</v>
      </c>
      <c r="C4811" s="9"/>
      <c r="D4811" s="9">
        <f t="shared" si="75"/>
        <v>36.41</v>
      </c>
      <c r="E4811" s="11"/>
      <c r="F4811" s="9"/>
    </row>
    <row r="4812" s="1" customFormat="1" customHeight="1" spans="1:6">
      <c r="A4812" s="9" t="str">
        <f>"10510116110"</f>
        <v>10510116110</v>
      </c>
      <c r="B4812" s="10">
        <v>34.24</v>
      </c>
      <c r="C4812" s="9"/>
      <c r="D4812" s="9">
        <f t="shared" si="75"/>
        <v>34.24</v>
      </c>
      <c r="E4812" s="11"/>
      <c r="F4812" s="9"/>
    </row>
    <row r="4813" s="1" customFormat="1" customHeight="1" spans="1:6">
      <c r="A4813" s="9" t="str">
        <f>"10510116111"</f>
        <v>10510116111</v>
      </c>
      <c r="B4813" s="10">
        <v>28.86</v>
      </c>
      <c r="C4813" s="9"/>
      <c r="D4813" s="9">
        <f t="shared" si="75"/>
        <v>28.86</v>
      </c>
      <c r="E4813" s="11"/>
      <c r="F4813" s="9"/>
    </row>
    <row r="4814" s="1" customFormat="1" customHeight="1" spans="1:6">
      <c r="A4814" s="9" t="str">
        <f>"10290116112"</f>
        <v>10290116112</v>
      </c>
      <c r="B4814" s="10">
        <v>40.65</v>
      </c>
      <c r="C4814" s="9"/>
      <c r="D4814" s="9">
        <f t="shared" si="75"/>
        <v>40.65</v>
      </c>
      <c r="E4814" s="11"/>
      <c r="F4814" s="9"/>
    </row>
    <row r="4815" s="1" customFormat="1" customHeight="1" spans="1:6">
      <c r="A4815" s="9" t="str">
        <f>"10240116113"</f>
        <v>10240116113</v>
      </c>
      <c r="B4815" s="10">
        <v>0</v>
      </c>
      <c r="C4815" s="9"/>
      <c r="D4815" s="9">
        <f t="shared" si="75"/>
        <v>0</v>
      </c>
      <c r="E4815" s="11"/>
      <c r="F4815" s="9" t="s">
        <v>7</v>
      </c>
    </row>
    <row r="4816" s="1" customFormat="1" customHeight="1" spans="1:6">
      <c r="A4816" s="9" t="str">
        <f>"10300116114"</f>
        <v>10300116114</v>
      </c>
      <c r="B4816" s="10">
        <v>50.1</v>
      </c>
      <c r="C4816" s="9"/>
      <c r="D4816" s="9">
        <f t="shared" si="75"/>
        <v>50.1</v>
      </c>
      <c r="E4816" s="11"/>
      <c r="F4816" s="9"/>
    </row>
    <row r="4817" s="1" customFormat="1" customHeight="1" spans="1:6">
      <c r="A4817" s="9" t="str">
        <f>"10530116115"</f>
        <v>10530116115</v>
      </c>
      <c r="B4817" s="10">
        <v>35.09</v>
      </c>
      <c r="C4817" s="9"/>
      <c r="D4817" s="9">
        <f t="shared" si="75"/>
        <v>35.09</v>
      </c>
      <c r="E4817" s="11"/>
      <c r="F4817" s="9"/>
    </row>
    <row r="4818" s="1" customFormat="1" customHeight="1" spans="1:6">
      <c r="A4818" s="9" t="str">
        <f>"10100116116"</f>
        <v>10100116116</v>
      </c>
      <c r="B4818" s="10">
        <v>0</v>
      </c>
      <c r="C4818" s="9"/>
      <c r="D4818" s="9">
        <f t="shared" si="75"/>
        <v>0</v>
      </c>
      <c r="E4818" s="11"/>
      <c r="F4818" s="9" t="s">
        <v>7</v>
      </c>
    </row>
    <row r="4819" s="1" customFormat="1" customHeight="1" spans="1:6">
      <c r="A4819" s="9" t="str">
        <f>"10330116117"</f>
        <v>10330116117</v>
      </c>
      <c r="B4819" s="10">
        <v>42.95</v>
      </c>
      <c r="C4819" s="9"/>
      <c r="D4819" s="9">
        <f t="shared" si="75"/>
        <v>42.95</v>
      </c>
      <c r="E4819" s="11"/>
      <c r="F4819" s="9"/>
    </row>
    <row r="4820" s="1" customFormat="1" customHeight="1" spans="1:6">
      <c r="A4820" s="9" t="str">
        <f>"10110116118"</f>
        <v>10110116118</v>
      </c>
      <c r="B4820" s="10">
        <v>0</v>
      </c>
      <c r="C4820" s="9"/>
      <c r="D4820" s="9">
        <f t="shared" si="75"/>
        <v>0</v>
      </c>
      <c r="E4820" s="11"/>
      <c r="F4820" s="9" t="s">
        <v>7</v>
      </c>
    </row>
    <row r="4821" s="1" customFormat="1" customHeight="1" spans="1:6">
      <c r="A4821" s="9" t="str">
        <f>"10360116119"</f>
        <v>10360116119</v>
      </c>
      <c r="B4821" s="10">
        <v>38.11</v>
      </c>
      <c r="C4821" s="9"/>
      <c r="D4821" s="9">
        <f t="shared" si="75"/>
        <v>38.11</v>
      </c>
      <c r="E4821" s="11"/>
      <c r="F4821" s="9"/>
    </row>
    <row r="4822" s="1" customFormat="1" customHeight="1" spans="1:6">
      <c r="A4822" s="9" t="str">
        <f>"10110116120"</f>
        <v>10110116120</v>
      </c>
      <c r="B4822" s="10">
        <v>46.69</v>
      </c>
      <c r="C4822" s="9"/>
      <c r="D4822" s="9">
        <f t="shared" si="75"/>
        <v>46.69</v>
      </c>
      <c r="E4822" s="11"/>
      <c r="F4822" s="9"/>
    </row>
    <row r="4823" s="1" customFormat="1" customHeight="1" spans="1:6">
      <c r="A4823" s="9" t="str">
        <f>"10360116121"</f>
        <v>10360116121</v>
      </c>
      <c r="B4823" s="10">
        <v>32.54</v>
      </c>
      <c r="C4823" s="9"/>
      <c r="D4823" s="9">
        <f t="shared" si="75"/>
        <v>32.54</v>
      </c>
      <c r="E4823" s="11"/>
      <c r="F4823" s="9"/>
    </row>
    <row r="4824" s="1" customFormat="1" customHeight="1" spans="1:6">
      <c r="A4824" s="9" t="str">
        <f>"10070116122"</f>
        <v>10070116122</v>
      </c>
      <c r="B4824" s="10">
        <v>42.87</v>
      </c>
      <c r="C4824" s="9"/>
      <c r="D4824" s="9">
        <f t="shared" si="75"/>
        <v>42.87</v>
      </c>
      <c r="E4824" s="11"/>
      <c r="F4824" s="9"/>
    </row>
    <row r="4825" s="1" customFormat="1" customHeight="1" spans="1:6">
      <c r="A4825" s="9" t="str">
        <f>"10100116123"</f>
        <v>10100116123</v>
      </c>
      <c r="B4825" s="10">
        <v>38.97</v>
      </c>
      <c r="C4825" s="9"/>
      <c r="D4825" s="9">
        <f t="shared" si="75"/>
        <v>38.97</v>
      </c>
      <c r="E4825" s="11"/>
      <c r="F4825" s="9"/>
    </row>
    <row r="4826" s="1" customFormat="1" customHeight="1" spans="1:6">
      <c r="A4826" s="9" t="str">
        <f>"10510116124"</f>
        <v>10510116124</v>
      </c>
      <c r="B4826" s="10">
        <v>0</v>
      </c>
      <c r="C4826" s="9"/>
      <c r="D4826" s="9">
        <f t="shared" si="75"/>
        <v>0</v>
      </c>
      <c r="E4826" s="11"/>
      <c r="F4826" s="9" t="s">
        <v>7</v>
      </c>
    </row>
    <row r="4827" s="1" customFormat="1" customHeight="1" spans="1:6">
      <c r="A4827" s="9" t="str">
        <f>"10360116125"</f>
        <v>10360116125</v>
      </c>
      <c r="B4827" s="10">
        <v>0</v>
      </c>
      <c r="C4827" s="9"/>
      <c r="D4827" s="9">
        <f t="shared" si="75"/>
        <v>0</v>
      </c>
      <c r="E4827" s="11"/>
      <c r="F4827" s="9" t="s">
        <v>7</v>
      </c>
    </row>
    <row r="4828" s="1" customFormat="1" customHeight="1" spans="1:6">
      <c r="A4828" s="9" t="str">
        <f>"10140116126"</f>
        <v>10140116126</v>
      </c>
      <c r="B4828" s="10">
        <v>28.2</v>
      </c>
      <c r="C4828" s="9"/>
      <c r="D4828" s="9">
        <f t="shared" si="75"/>
        <v>28.2</v>
      </c>
      <c r="E4828" s="11"/>
      <c r="F4828" s="9"/>
    </row>
    <row r="4829" s="1" customFormat="1" customHeight="1" spans="1:6">
      <c r="A4829" s="9" t="str">
        <f>"10520116127"</f>
        <v>10520116127</v>
      </c>
      <c r="B4829" s="10">
        <v>40.51</v>
      </c>
      <c r="C4829" s="9"/>
      <c r="D4829" s="9">
        <f t="shared" si="75"/>
        <v>40.51</v>
      </c>
      <c r="E4829" s="11"/>
      <c r="F4829" s="9"/>
    </row>
    <row r="4830" s="1" customFormat="1" customHeight="1" spans="1:6">
      <c r="A4830" s="9" t="str">
        <f>"10240116128"</f>
        <v>10240116128</v>
      </c>
      <c r="B4830" s="10">
        <v>43.77</v>
      </c>
      <c r="C4830" s="9"/>
      <c r="D4830" s="9">
        <f t="shared" si="75"/>
        <v>43.77</v>
      </c>
      <c r="E4830" s="11"/>
      <c r="F4830" s="9"/>
    </row>
    <row r="4831" s="1" customFormat="1" customHeight="1" spans="1:6">
      <c r="A4831" s="9" t="str">
        <f>"10300116129"</f>
        <v>10300116129</v>
      </c>
      <c r="B4831" s="10">
        <v>0</v>
      </c>
      <c r="C4831" s="9"/>
      <c r="D4831" s="9">
        <f t="shared" si="75"/>
        <v>0</v>
      </c>
      <c r="E4831" s="11"/>
      <c r="F4831" s="9" t="s">
        <v>7</v>
      </c>
    </row>
    <row r="4832" s="1" customFormat="1" customHeight="1" spans="1:6">
      <c r="A4832" s="9" t="str">
        <f>"10360116130"</f>
        <v>10360116130</v>
      </c>
      <c r="B4832" s="10">
        <v>38.69</v>
      </c>
      <c r="C4832" s="9"/>
      <c r="D4832" s="9">
        <f t="shared" si="75"/>
        <v>38.69</v>
      </c>
      <c r="E4832" s="11"/>
      <c r="F4832" s="9"/>
    </row>
    <row r="4833" s="1" customFormat="1" customHeight="1" spans="1:6">
      <c r="A4833" s="9" t="str">
        <f>"10330116201"</f>
        <v>10330116201</v>
      </c>
      <c r="B4833" s="10">
        <v>0</v>
      </c>
      <c r="C4833" s="9"/>
      <c r="D4833" s="9">
        <f t="shared" si="75"/>
        <v>0</v>
      </c>
      <c r="E4833" s="11"/>
      <c r="F4833" s="9" t="s">
        <v>7</v>
      </c>
    </row>
    <row r="4834" s="1" customFormat="1" customHeight="1" spans="1:6">
      <c r="A4834" s="9" t="str">
        <f>"10360116202"</f>
        <v>10360116202</v>
      </c>
      <c r="B4834" s="10">
        <v>0</v>
      </c>
      <c r="C4834" s="9"/>
      <c r="D4834" s="9">
        <f t="shared" si="75"/>
        <v>0</v>
      </c>
      <c r="E4834" s="11"/>
      <c r="F4834" s="9" t="s">
        <v>7</v>
      </c>
    </row>
    <row r="4835" s="1" customFormat="1" customHeight="1" spans="1:6">
      <c r="A4835" s="9" t="str">
        <f>"20270116203"</f>
        <v>20270116203</v>
      </c>
      <c r="B4835" s="10">
        <v>45.69</v>
      </c>
      <c r="C4835" s="9"/>
      <c r="D4835" s="9">
        <f t="shared" si="75"/>
        <v>45.69</v>
      </c>
      <c r="E4835" s="11"/>
      <c r="F4835" s="9"/>
    </row>
    <row r="4836" s="1" customFormat="1" customHeight="1" spans="1:6">
      <c r="A4836" s="9" t="str">
        <f>"10280116204"</f>
        <v>10280116204</v>
      </c>
      <c r="B4836" s="10">
        <v>0</v>
      </c>
      <c r="C4836" s="9"/>
      <c r="D4836" s="9">
        <f t="shared" si="75"/>
        <v>0</v>
      </c>
      <c r="E4836" s="11"/>
      <c r="F4836" s="9" t="s">
        <v>7</v>
      </c>
    </row>
    <row r="4837" s="1" customFormat="1" customHeight="1" spans="1:6">
      <c r="A4837" s="9" t="str">
        <f>"10270116205"</f>
        <v>10270116205</v>
      </c>
      <c r="B4837" s="10">
        <v>43.28</v>
      </c>
      <c r="C4837" s="9"/>
      <c r="D4837" s="9">
        <f t="shared" si="75"/>
        <v>43.28</v>
      </c>
      <c r="E4837" s="11"/>
      <c r="F4837" s="9"/>
    </row>
    <row r="4838" s="1" customFormat="1" customHeight="1" spans="1:6">
      <c r="A4838" s="9" t="str">
        <f>"10290116206"</f>
        <v>10290116206</v>
      </c>
      <c r="B4838" s="10">
        <v>41.16</v>
      </c>
      <c r="C4838" s="9"/>
      <c r="D4838" s="9">
        <f t="shared" si="75"/>
        <v>41.16</v>
      </c>
      <c r="E4838" s="11"/>
      <c r="F4838" s="9"/>
    </row>
    <row r="4839" s="1" customFormat="1" customHeight="1" spans="1:6">
      <c r="A4839" s="9" t="str">
        <f>"10510116207"</f>
        <v>10510116207</v>
      </c>
      <c r="B4839" s="10">
        <v>45.94</v>
      </c>
      <c r="C4839" s="9"/>
      <c r="D4839" s="9">
        <f t="shared" si="75"/>
        <v>45.94</v>
      </c>
      <c r="E4839" s="11"/>
      <c r="F4839" s="9"/>
    </row>
    <row r="4840" s="1" customFormat="1" customHeight="1" spans="1:6">
      <c r="A4840" s="9" t="str">
        <f>"10360116208"</f>
        <v>10360116208</v>
      </c>
      <c r="B4840" s="10">
        <v>32.67</v>
      </c>
      <c r="C4840" s="9"/>
      <c r="D4840" s="9">
        <f t="shared" si="75"/>
        <v>32.67</v>
      </c>
      <c r="E4840" s="11"/>
      <c r="F4840" s="9"/>
    </row>
    <row r="4841" s="1" customFormat="1" customHeight="1" spans="1:6">
      <c r="A4841" s="9" t="str">
        <f>"10530116209"</f>
        <v>10530116209</v>
      </c>
      <c r="B4841" s="10">
        <v>33.63</v>
      </c>
      <c r="C4841" s="9"/>
      <c r="D4841" s="9">
        <f t="shared" si="75"/>
        <v>33.63</v>
      </c>
      <c r="E4841" s="11"/>
      <c r="F4841" s="9"/>
    </row>
    <row r="4842" s="1" customFormat="1" customHeight="1" spans="1:6">
      <c r="A4842" s="9" t="str">
        <f>"10050116210"</f>
        <v>10050116210</v>
      </c>
      <c r="B4842" s="10">
        <v>39.73</v>
      </c>
      <c r="C4842" s="9"/>
      <c r="D4842" s="9">
        <f t="shared" si="75"/>
        <v>39.73</v>
      </c>
      <c r="E4842" s="11"/>
      <c r="F4842" s="9"/>
    </row>
    <row r="4843" s="1" customFormat="1" customHeight="1" spans="1:6">
      <c r="A4843" s="9" t="str">
        <f>"10360116211"</f>
        <v>10360116211</v>
      </c>
      <c r="B4843" s="10">
        <v>43.08</v>
      </c>
      <c r="C4843" s="9"/>
      <c r="D4843" s="9">
        <f t="shared" si="75"/>
        <v>43.08</v>
      </c>
      <c r="E4843" s="11"/>
      <c r="F4843" s="9"/>
    </row>
    <row r="4844" s="1" customFormat="1" customHeight="1" spans="1:6">
      <c r="A4844" s="9" t="str">
        <f>"20270116212"</f>
        <v>20270116212</v>
      </c>
      <c r="B4844" s="10">
        <v>34.37</v>
      </c>
      <c r="C4844" s="9"/>
      <c r="D4844" s="9">
        <f t="shared" si="75"/>
        <v>34.37</v>
      </c>
      <c r="E4844" s="11"/>
      <c r="F4844" s="9"/>
    </row>
    <row r="4845" s="1" customFormat="1" customHeight="1" spans="1:6">
      <c r="A4845" s="9" t="str">
        <f>"10110116213"</f>
        <v>10110116213</v>
      </c>
      <c r="B4845" s="10">
        <v>0</v>
      </c>
      <c r="C4845" s="9"/>
      <c r="D4845" s="9">
        <f t="shared" si="75"/>
        <v>0</v>
      </c>
      <c r="E4845" s="11"/>
      <c r="F4845" s="9" t="s">
        <v>7</v>
      </c>
    </row>
    <row r="4846" s="1" customFormat="1" customHeight="1" spans="1:6">
      <c r="A4846" s="9" t="str">
        <f>"10060116214"</f>
        <v>10060116214</v>
      </c>
      <c r="B4846" s="10">
        <v>42.39</v>
      </c>
      <c r="C4846" s="9"/>
      <c r="D4846" s="9">
        <f t="shared" si="75"/>
        <v>42.39</v>
      </c>
      <c r="E4846" s="11"/>
      <c r="F4846" s="9"/>
    </row>
    <row r="4847" s="1" customFormat="1" customHeight="1" spans="1:6">
      <c r="A4847" s="9" t="str">
        <f>"10430116215"</f>
        <v>10430116215</v>
      </c>
      <c r="B4847" s="10">
        <v>32.77</v>
      </c>
      <c r="C4847" s="9"/>
      <c r="D4847" s="9">
        <f t="shared" si="75"/>
        <v>32.77</v>
      </c>
      <c r="E4847" s="11"/>
      <c r="F4847" s="9"/>
    </row>
    <row r="4848" s="1" customFormat="1" customHeight="1" spans="1:6">
      <c r="A4848" s="9" t="str">
        <f>"10290116216"</f>
        <v>10290116216</v>
      </c>
      <c r="B4848" s="10">
        <v>36.72</v>
      </c>
      <c r="C4848" s="9"/>
      <c r="D4848" s="9">
        <f t="shared" si="75"/>
        <v>36.72</v>
      </c>
      <c r="E4848" s="11"/>
      <c r="F4848" s="9"/>
    </row>
    <row r="4849" s="1" customFormat="1" customHeight="1" spans="1:6">
      <c r="A4849" s="9" t="str">
        <f>"10440116217"</f>
        <v>10440116217</v>
      </c>
      <c r="B4849" s="10">
        <v>39.08</v>
      </c>
      <c r="C4849" s="9"/>
      <c r="D4849" s="9">
        <f t="shared" si="75"/>
        <v>39.08</v>
      </c>
      <c r="E4849" s="11"/>
      <c r="F4849" s="9"/>
    </row>
    <row r="4850" s="1" customFormat="1" customHeight="1" spans="1:6">
      <c r="A4850" s="9" t="str">
        <f>"10130116218"</f>
        <v>10130116218</v>
      </c>
      <c r="B4850" s="10">
        <v>0</v>
      </c>
      <c r="C4850" s="9"/>
      <c r="D4850" s="9">
        <f t="shared" si="75"/>
        <v>0</v>
      </c>
      <c r="E4850" s="11"/>
      <c r="F4850" s="9" t="s">
        <v>7</v>
      </c>
    </row>
    <row r="4851" s="1" customFormat="1" customHeight="1" spans="1:6">
      <c r="A4851" s="9" t="str">
        <f>"10360116219"</f>
        <v>10360116219</v>
      </c>
      <c r="B4851" s="10">
        <v>39.78</v>
      </c>
      <c r="C4851" s="9"/>
      <c r="D4851" s="9">
        <f t="shared" si="75"/>
        <v>39.78</v>
      </c>
      <c r="E4851" s="11"/>
      <c r="F4851" s="9"/>
    </row>
    <row r="4852" s="1" customFormat="1" customHeight="1" spans="1:6">
      <c r="A4852" s="9" t="str">
        <f>"10200116220"</f>
        <v>10200116220</v>
      </c>
      <c r="B4852" s="10">
        <v>42.39</v>
      </c>
      <c r="C4852" s="9"/>
      <c r="D4852" s="9">
        <f t="shared" si="75"/>
        <v>42.39</v>
      </c>
      <c r="E4852" s="11"/>
      <c r="F4852" s="9"/>
    </row>
    <row r="4853" s="1" customFormat="1" customHeight="1" spans="1:6">
      <c r="A4853" s="9" t="str">
        <f>"10360116221"</f>
        <v>10360116221</v>
      </c>
      <c r="B4853" s="10">
        <v>33.44</v>
      </c>
      <c r="C4853" s="9"/>
      <c r="D4853" s="9">
        <f t="shared" si="75"/>
        <v>33.44</v>
      </c>
      <c r="E4853" s="11"/>
      <c r="F4853" s="9"/>
    </row>
    <row r="4854" s="1" customFormat="1" customHeight="1" spans="1:6">
      <c r="A4854" s="9" t="str">
        <f>"10070116222"</f>
        <v>10070116222</v>
      </c>
      <c r="B4854" s="10">
        <v>0</v>
      </c>
      <c r="C4854" s="9"/>
      <c r="D4854" s="9">
        <f t="shared" si="75"/>
        <v>0</v>
      </c>
      <c r="E4854" s="11"/>
      <c r="F4854" s="9" t="s">
        <v>7</v>
      </c>
    </row>
    <row r="4855" s="1" customFormat="1" customHeight="1" spans="1:6">
      <c r="A4855" s="9" t="str">
        <f>"10440116223"</f>
        <v>10440116223</v>
      </c>
      <c r="B4855" s="10">
        <v>35.34</v>
      </c>
      <c r="C4855" s="9"/>
      <c r="D4855" s="9">
        <f t="shared" si="75"/>
        <v>35.34</v>
      </c>
      <c r="E4855" s="11"/>
      <c r="F4855" s="9"/>
    </row>
    <row r="4856" s="1" customFormat="1" customHeight="1" spans="1:6">
      <c r="A4856" s="9" t="str">
        <f>"10210116224"</f>
        <v>10210116224</v>
      </c>
      <c r="B4856" s="10">
        <v>0</v>
      </c>
      <c r="C4856" s="9"/>
      <c r="D4856" s="9">
        <f t="shared" si="75"/>
        <v>0</v>
      </c>
      <c r="E4856" s="11"/>
      <c r="F4856" s="9" t="s">
        <v>7</v>
      </c>
    </row>
    <row r="4857" s="1" customFormat="1" customHeight="1" spans="1:6">
      <c r="A4857" s="9" t="str">
        <f>"10070116225"</f>
        <v>10070116225</v>
      </c>
      <c r="B4857" s="10">
        <v>42.62</v>
      </c>
      <c r="C4857" s="9"/>
      <c r="D4857" s="9">
        <f t="shared" si="75"/>
        <v>42.62</v>
      </c>
      <c r="E4857" s="11"/>
      <c r="F4857" s="9"/>
    </row>
    <row r="4858" s="1" customFormat="1" customHeight="1" spans="1:6">
      <c r="A4858" s="9" t="str">
        <f>"10520116226"</f>
        <v>10520116226</v>
      </c>
      <c r="B4858" s="10">
        <v>34.46</v>
      </c>
      <c r="C4858" s="9"/>
      <c r="D4858" s="9">
        <f t="shared" si="75"/>
        <v>34.46</v>
      </c>
      <c r="E4858" s="11"/>
      <c r="F4858" s="9"/>
    </row>
    <row r="4859" s="1" customFormat="1" customHeight="1" spans="1:6">
      <c r="A4859" s="9" t="str">
        <f>"10360116227"</f>
        <v>10360116227</v>
      </c>
      <c r="B4859" s="10">
        <v>33.38</v>
      </c>
      <c r="C4859" s="9"/>
      <c r="D4859" s="9">
        <f t="shared" si="75"/>
        <v>33.38</v>
      </c>
      <c r="E4859" s="11"/>
      <c r="F4859" s="9"/>
    </row>
    <row r="4860" s="1" customFormat="1" customHeight="1" spans="1:6">
      <c r="A4860" s="9" t="str">
        <f>"10360116228"</f>
        <v>10360116228</v>
      </c>
      <c r="B4860" s="10">
        <v>28.92</v>
      </c>
      <c r="C4860" s="9"/>
      <c r="D4860" s="9">
        <f t="shared" si="75"/>
        <v>28.92</v>
      </c>
      <c r="E4860" s="11"/>
      <c r="F4860" s="9"/>
    </row>
    <row r="4861" s="1" customFormat="1" customHeight="1" spans="1:6">
      <c r="A4861" s="9" t="str">
        <f>"10280116229"</f>
        <v>10280116229</v>
      </c>
      <c r="B4861" s="10">
        <v>0</v>
      </c>
      <c r="C4861" s="9"/>
      <c r="D4861" s="9">
        <f t="shared" si="75"/>
        <v>0</v>
      </c>
      <c r="E4861" s="11"/>
      <c r="F4861" s="9" t="s">
        <v>7</v>
      </c>
    </row>
    <row r="4862" s="1" customFormat="1" customHeight="1" spans="1:6">
      <c r="A4862" s="9" t="str">
        <f>"10440116230"</f>
        <v>10440116230</v>
      </c>
      <c r="B4862" s="10">
        <v>48.07</v>
      </c>
      <c r="C4862" s="9"/>
      <c r="D4862" s="9">
        <f t="shared" si="75"/>
        <v>48.07</v>
      </c>
      <c r="E4862" s="11"/>
      <c r="F4862" s="9"/>
    </row>
    <row r="4863" s="1" customFormat="1" customHeight="1" spans="1:6">
      <c r="A4863" s="9" t="str">
        <f>"20270116301"</f>
        <v>20270116301</v>
      </c>
      <c r="B4863" s="10">
        <v>43.15</v>
      </c>
      <c r="C4863" s="9"/>
      <c r="D4863" s="9">
        <f t="shared" si="75"/>
        <v>43.15</v>
      </c>
      <c r="E4863" s="11"/>
      <c r="F4863" s="9"/>
    </row>
    <row r="4864" s="1" customFormat="1" customHeight="1" spans="1:6">
      <c r="A4864" s="9" t="str">
        <f>"10360116302"</f>
        <v>10360116302</v>
      </c>
      <c r="B4864" s="10">
        <v>39.58</v>
      </c>
      <c r="C4864" s="9"/>
      <c r="D4864" s="9">
        <f t="shared" si="75"/>
        <v>39.58</v>
      </c>
      <c r="E4864" s="11"/>
      <c r="F4864" s="9"/>
    </row>
    <row r="4865" s="1" customFormat="1" customHeight="1" spans="1:6">
      <c r="A4865" s="9" t="str">
        <f>"10480116303"</f>
        <v>10480116303</v>
      </c>
      <c r="B4865" s="10">
        <v>39.47</v>
      </c>
      <c r="C4865" s="9"/>
      <c r="D4865" s="9">
        <f t="shared" si="75"/>
        <v>39.47</v>
      </c>
      <c r="E4865" s="11"/>
      <c r="F4865" s="9"/>
    </row>
    <row r="4866" s="1" customFormat="1" customHeight="1" spans="1:6">
      <c r="A4866" s="9" t="str">
        <f>"10010116304"</f>
        <v>10010116304</v>
      </c>
      <c r="B4866" s="10">
        <v>0</v>
      </c>
      <c r="C4866" s="9"/>
      <c r="D4866" s="9">
        <f t="shared" si="75"/>
        <v>0</v>
      </c>
      <c r="E4866" s="11"/>
      <c r="F4866" s="9" t="s">
        <v>7</v>
      </c>
    </row>
    <row r="4867" s="1" customFormat="1" customHeight="1" spans="1:6">
      <c r="A4867" s="9" t="str">
        <f>"10020116305"</f>
        <v>10020116305</v>
      </c>
      <c r="B4867" s="10">
        <v>42.88</v>
      </c>
      <c r="C4867" s="9"/>
      <c r="D4867" s="9">
        <f t="shared" ref="D4867:D4930" si="76">SUM(B4867:C4867)</f>
        <v>42.88</v>
      </c>
      <c r="E4867" s="11"/>
      <c r="F4867" s="9"/>
    </row>
    <row r="4868" s="1" customFormat="1" customHeight="1" spans="1:6">
      <c r="A4868" s="9" t="str">
        <f>"10460116306"</f>
        <v>10460116306</v>
      </c>
      <c r="B4868" s="10">
        <v>0</v>
      </c>
      <c r="C4868" s="9"/>
      <c r="D4868" s="9">
        <f t="shared" si="76"/>
        <v>0</v>
      </c>
      <c r="E4868" s="11"/>
      <c r="F4868" s="9" t="s">
        <v>7</v>
      </c>
    </row>
    <row r="4869" s="1" customFormat="1" customHeight="1" spans="1:6">
      <c r="A4869" s="9" t="str">
        <f>"10270116307"</f>
        <v>10270116307</v>
      </c>
      <c r="B4869" s="10">
        <v>38.13</v>
      </c>
      <c r="C4869" s="9"/>
      <c r="D4869" s="9">
        <f t="shared" si="76"/>
        <v>38.13</v>
      </c>
      <c r="E4869" s="11"/>
      <c r="F4869" s="9"/>
    </row>
    <row r="4870" s="1" customFormat="1" customHeight="1" spans="1:6">
      <c r="A4870" s="9" t="str">
        <f>"10230116308"</f>
        <v>10230116308</v>
      </c>
      <c r="B4870" s="10">
        <v>42.85</v>
      </c>
      <c r="C4870" s="9"/>
      <c r="D4870" s="9">
        <f t="shared" si="76"/>
        <v>42.85</v>
      </c>
      <c r="E4870" s="11"/>
      <c r="F4870" s="9"/>
    </row>
    <row r="4871" s="1" customFormat="1" customHeight="1" spans="1:6">
      <c r="A4871" s="9" t="str">
        <f>"10530116309"</f>
        <v>10530116309</v>
      </c>
      <c r="B4871" s="10">
        <v>40.61</v>
      </c>
      <c r="C4871" s="9"/>
      <c r="D4871" s="9">
        <f t="shared" si="76"/>
        <v>40.61</v>
      </c>
      <c r="E4871" s="11"/>
      <c r="F4871" s="9"/>
    </row>
    <row r="4872" s="1" customFormat="1" customHeight="1" spans="1:6">
      <c r="A4872" s="9" t="str">
        <f>"10520116310"</f>
        <v>10520116310</v>
      </c>
      <c r="B4872" s="10">
        <v>41.89</v>
      </c>
      <c r="C4872" s="9"/>
      <c r="D4872" s="9">
        <f t="shared" si="76"/>
        <v>41.89</v>
      </c>
      <c r="E4872" s="11"/>
      <c r="F4872" s="9"/>
    </row>
    <row r="4873" s="1" customFormat="1" customHeight="1" spans="1:6">
      <c r="A4873" s="9" t="str">
        <f>"10460116311"</f>
        <v>10460116311</v>
      </c>
      <c r="B4873" s="10">
        <v>40.84</v>
      </c>
      <c r="C4873" s="9"/>
      <c r="D4873" s="9">
        <f t="shared" si="76"/>
        <v>40.84</v>
      </c>
      <c r="E4873" s="11"/>
      <c r="F4873" s="9"/>
    </row>
    <row r="4874" s="1" customFormat="1" customHeight="1" spans="1:6">
      <c r="A4874" s="9" t="str">
        <f>"10410116312"</f>
        <v>10410116312</v>
      </c>
      <c r="B4874" s="10">
        <v>37.77</v>
      </c>
      <c r="C4874" s="9"/>
      <c r="D4874" s="9">
        <f t="shared" si="76"/>
        <v>37.77</v>
      </c>
      <c r="E4874" s="11"/>
      <c r="F4874" s="9"/>
    </row>
    <row r="4875" s="1" customFormat="1" customHeight="1" spans="1:6">
      <c r="A4875" s="9" t="str">
        <f>"10330116313"</f>
        <v>10330116313</v>
      </c>
      <c r="B4875" s="10">
        <v>39.62</v>
      </c>
      <c r="C4875" s="9"/>
      <c r="D4875" s="9">
        <f t="shared" si="76"/>
        <v>39.62</v>
      </c>
      <c r="E4875" s="11"/>
      <c r="F4875" s="9"/>
    </row>
    <row r="4876" s="1" customFormat="1" customHeight="1" spans="1:6">
      <c r="A4876" s="9" t="str">
        <f>"10140116314"</f>
        <v>10140116314</v>
      </c>
      <c r="B4876" s="10">
        <v>48.93</v>
      </c>
      <c r="C4876" s="9"/>
      <c r="D4876" s="9">
        <f t="shared" si="76"/>
        <v>48.93</v>
      </c>
      <c r="E4876" s="11"/>
      <c r="F4876" s="9"/>
    </row>
    <row r="4877" s="1" customFormat="1" customHeight="1" spans="1:6">
      <c r="A4877" s="9" t="str">
        <f>"10170116315"</f>
        <v>10170116315</v>
      </c>
      <c r="B4877" s="10">
        <v>41.77</v>
      </c>
      <c r="C4877" s="9">
        <v>10</v>
      </c>
      <c r="D4877" s="9">
        <f t="shared" si="76"/>
        <v>51.77</v>
      </c>
      <c r="E4877" s="12" t="s">
        <v>8</v>
      </c>
      <c r="F4877" s="9"/>
    </row>
    <row r="4878" s="1" customFormat="1" customHeight="1" spans="1:6">
      <c r="A4878" s="9" t="str">
        <f>"10510116316"</f>
        <v>10510116316</v>
      </c>
      <c r="B4878" s="10">
        <v>39.67</v>
      </c>
      <c r="C4878" s="9"/>
      <c r="D4878" s="9">
        <f t="shared" si="76"/>
        <v>39.67</v>
      </c>
      <c r="E4878" s="11"/>
      <c r="F4878" s="9"/>
    </row>
    <row r="4879" s="1" customFormat="1" customHeight="1" spans="1:6">
      <c r="A4879" s="9" t="str">
        <f>"10360116317"</f>
        <v>10360116317</v>
      </c>
      <c r="B4879" s="10">
        <v>36.59</v>
      </c>
      <c r="C4879" s="9"/>
      <c r="D4879" s="9">
        <f t="shared" si="76"/>
        <v>36.59</v>
      </c>
      <c r="E4879" s="11"/>
      <c r="F4879" s="9"/>
    </row>
    <row r="4880" s="1" customFormat="1" customHeight="1" spans="1:6">
      <c r="A4880" s="9" t="str">
        <f>"10130116318"</f>
        <v>10130116318</v>
      </c>
      <c r="B4880" s="10">
        <v>45.85</v>
      </c>
      <c r="C4880" s="9"/>
      <c r="D4880" s="9">
        <f t="shared" si="76"/>
        <v>45.85</v>
      </c>
      <c r="E4880" s="11"/>
      <c r="F4880" s="9"/>
    </row>
    <row r="4881" s="1" customFormat="1" customHeight="1" spans="1:6">
      <c r="A4881" s="9" t="str">
        <f>"10230116319"</f>
        <v>10230116319</v>
      </c>
      <c r="B4881" s="10">
        <v>34.74</v>
      </c>
      <c r="C4881" s="9"/>
      <c r="D4881" s="9">
        <f t="shared" si="76"/>
        <v>34.74</v>
      </c>
      <c r="E4881" s="11"/>
      <c r="F4881" s="9"/>
    </row>
    <row r="4882" s="1" customFormat="1" customHeight="1" spans="1:6">
      <c r="A4882" s="9" t="str">
        <f>"10440116320"</f>
        <v>10440116320</v>
      </c>
      <c r="B4882" s="10">
        <v>0</v>
      </c>
      <c r="C4882" s="9"/>
      <c r="D4882" s="9">
        <f t="shared" si="76"/>
        <v>0</v>
      </c>
      <c r="E4882" s="11"/>
      <c r="F4882" s="9" t="s">
        <v>7</v>
      </c>
    </row>
    <row r="4883" s="1" customFormat="1" customHeight="1" spans="1:6">
      <c r="A4883" s="9" t="str">
        <f>"10300116321"</f>
        <v>10300116321</v>
      </c>
      <c r="B4883" s="10">
        <v>32.58</v>
      </c>
      <c r="C4883" s="9"/>
      <c r="D4883" s="9">
        <f t="shared" si="76"/>
        <v>32.58</v>
      </c>
      <c r="E4883" s="11"/>
      <c r="F4883" s="9"/>
    </row>
    <row r="4884" s="1" customFormat="1" customHeight="1" spans="1:6">
      <c r="A4884" s="9" t="str">
        <f>"20270116322"</f>
        <v>20270116322</v>
      </c>
      <c r="B4884" s="10">
        <v>0</v>
      </c>
      <c r="C4884" s="9"/>
      <c r="D4884" s="9">
        <f t="shared" si="76"/>
        <v>0</v>
      </c>
      <c r="E4884" s="11"/>
      <c r="F4884" s="9" t="s">
        <v>7</v>
      </c>
    </row>
    <row r="4885" s="1" customFormat="1" customHeight="1" spans="1:6">
      <c r="A4885" s="9" t="str">
        <f>"10140116323"</f>
        <v>10140116323</v>
      </c>
      <c r="B4885" s="10">
        <v>49.37</v>
      </c>
      <c r="C4885" s="9"/>
      <c r="D4885" s="9">
        <f t="shared" si="76"/>
        <v>49.37</v>
      </c>
      <c r="E4885" s="11"/>
      <c r="F4885" s="9"/>
    </row>
    <row r="4886" s="1" customFormat="1" customHeight="1" spans="1:6">
      <c r="A4886" s="9" t="str">
        <f>"10300116324"</f>
        <v>10300116324</v>
      </c>
      <c r="B4886" s="10">
        <v>0</v>
      </c>
      <c r="C4886" s="9"/>
      <c r="D4886" s="9">
        <f t="shared" si="76"/>
        <v>0</v>
      </c>
      <c r="E4886" s="11"/>
      <c r="F4886" s="9" t="s">
        <v>7</v>
      </c>
    </row>
    <row r="4887" s="1" customFormat="1" customHeight="1" spans="1:6">
      <c r="A4887" s="9" t="str">
        <f>"10360116325"</f>
        <v>10360116325</v>
      </c>
      <c r="B4887" s="10">
        <v>40.71</v>
      </c>
      <c r="C4887" s="9"/>
      <c r="D4887" s="9">
        <f t="shared" si="76"/>
        <v>40.71</v>
      </c>
      <c r="E4887" s="11"/>
      <c r="F4887" s="9"/>
    </row>
    <row r="4888" s="1" customFormat="1" customHeight="1" spans="1:6">
      <c r="A4888" s="9" t="str">
        <f>"10090116326"</f>
        <v>10090116326</v>
      </c>
      <c r="B4888" s="10">
        <v>44.58</v>
      </c>
      <c r="C4888" s="9"/>
      <c r="D4888" s="9">
        <f t="shared" si="76"/>
        <v>44.58</v>
      </c>
      <c r="E4888" s="11"/>
      <c r="F4888" s="9"/>
    </row>
    <row r="4889" s="1" customFormat="1" customHeight="1" spans="1:6">
      <c r="A4889" s="9" t="str">
        <f>"10360116327"</f>
        <v>10360116327</v>
      </c>
      <c r="B4889" s="10">
        <v>0</v>
      </c>
      <c r="C4889" s="9"/>
      <c r="D4889" s="9">
        <f t="shared" si="76"/>
        <v>0</v>
      </c>
      <c r="E4889" s="11"/>
      <c r="F4889" s="9" t="s">
        <v>7</v>
      </c>
    </row>
    <row r="4890" s="1" customFormat="1" customHeight="1" spans="1:6">
      <c r="A4890" s="9" t="str">
        <f>"10530116328"</f>
        <v>10530116328</v>
      </c>
      <c r="B4890" s="10">
        <v>0</v>
      </c>
      <c r="C4890" s="9"/>
      <c r="D4890" s="9">
        <f t="shared" si="76"/>
        <v>0</v>
      </c>
      <c r="E4890" s="11"/>
      <c r="F4890" s="9" t="s">
        <v>7</v>
      </c>
    </row>
    <row r="4891" s="1" customFormat="1" customHeight="1" spans="1:6">
      <c r="A4891" s="9" t="str">
        <f>"10340116329"</f>
        <v>10340116329</v>
      </c>
      <c r="B4891" s="10">
        <v>49.15</v>
      </c>
      <c r="C4891" s="9"/>
      <c r="D4891" s="9">
        <f t="shared" si="76"/>
        <v>49.15</v>
      </c>
      <c r="E4891" s="11"/>
      <c r="F4891" s="9"/>
    </row>
    <row r="4892" s="1" customFormat="1" customHeight="1" spans="1:6">
      <c r="A4892" s="9" t="str">
        <f>"10270116330"</f>
        <v>10270116330</v>
      </c>
      <c r="B4892" s="10">
        <v>39.25</v>
      </c>
      <c r="C4892" s="9"/>
      <c r="D4892" s="9">
        <f t="shared" si="76"/>
        <v>39.25</v>
      </c>
      <c r="E4892" s="11"/>
      <c r="F4892" s="9"/>
    </row>
    <row r="4893" s="1" customFormat="1" customHeight="1" spans="1:6">
      <c r="A4893" s="9" t="str">
        <f>"10530116401"</f>
        <v>10530116401</v>
      </c>
      <c r="B4893" s="10">
        <v>40.64</v>
      </c>
      <c r="C4893" s="9"/>
      <c r="D4893" s="9">
        <f t="shared" si="76"/>
        <v>40.64</v>
      </c>
      <c r="E4893" s="11"/>
      <c r="F4893" s="9"/>
    </row>
    <row r="4894" s="1" customFormat="1" customHeight="1" spans="1:6">
      <c r="A4894" s="9" t="str">
        <f>"10460116402"</f>
        <v>10460116402</v>
      </c>
      <c r="B4894" s="10">
        <v>0</v>
      </c>
      <c r="C4894" s="9"/>
      <c r="D4894" s="9">
        <f t="shared" si="76"/>
        <v>0</v>
      </c>
      <c r="E4894" s="11"/>
      <c r="F4894" s="9" t="s">
        <v>7</v>
      </c>
    </row>
    <row r="4895" s="1" customFormat="1" customHeight="1" spans="1:6">
      <c r="A4895" s="9" t="str">
        <f>"10460116403"</f>
        <v>10460116403</v>
      </c>
      <c r="B4895" s="10">
        <v>34.83</v>
      </c>
      <c r="C4895" s="9"/>
      <c r="D4895" s="9">
        <f t="shared" si="76"/>
        <v>34.83</v>
      </c>
      <c r="E4895" s="11"/>
      <c r="F4895" s="9"/>
    </row>
    <row r="4896" s="1" customFormat="1" customHeight="1" spans="1:6">
      <c r="A4896" s="9" t="str">
        <f>"10440116404"</f>
        <v>10440116404</v>
      </c>
      <c r="B4896" s="10">
        <v>37.41</v>
      </c>
      <c r="C4896" s="9"/>
      <c r="D4896" s="9">
        <f t="shared" si="76"/>
        <v>37.41</v>
      </c>
      <c r="E4896" s="11"/>
      <c r="F4896" s="9"/>
    </row>
    <row r="4897" s="1" customFormat="1" customHeight="1" spans="1:6">
      <c r="A4897" s="9" t="str">
        <f>"10090116405"</f>
        <v>10090116405</v>
      </c>
      <c r="B4897" s="10">
        <v>0</v>
      </c>
      <c r="C4897" s="9"/>
      <c r="D4897" s="9">
        <f t="shared" si="76"/>
        <v>0</v>
      </c>
      <c r="E4897" s="11"/>
      <c r="F4897" s="9" t="s">
        <v>7</v>
      </c>
    </row>
    <row r="4898" s="1" customFormat="1" customHeight="1" spans="1:6">
      <c r="A4898" s="9" t="str">
        <f>"10110116406"</f>
        <v>10110116406</v>
      </c>
      <c r="B4898" s="10">
        <v>42.05</v>
      </c>
      <c r="C4898" s="9"/>
      <c r="D4898" s="9">
        <f t="shared" si="76"/>
        <v>42.05</v>
      </c>
      <c r="E4898" s="11"/>
      <c r="F4898" s="9"/>
    </row>
    <row r="4899" s="1" customFormat="1" customHeight="1" spans="1:6">
      <c r="A4899" s="9" t="str">
        <f>"10510116407"</f>
        <v>10510116407</v>
      </c>
      <c r="B4899" s="10">
        <v>38.78</v>
      </c>
      <c r="C4899" s="9"/>
      <c r="D4899" s="9">
        <f t="shared" si="76"/>
        <v>38.78</v>
      </c>
      <c r="E4899" s="11"/>
      <c r="F4899" s="9"/>
    </row>
    <row r="4900" s="1" customFormat="1" customHeight="1" spans="1:6">
      <c r="A4900" s="9" t="str">
        <f>"10210116408"</f>
        <v>10210116408</v>
      </c>
      <c r="B4900" s="10">
        <v>37.87</v>
      </c>
      <c r="C4900" s="9"/>
      <c r="D4900" s="9">
        <f t="shared" si="76"/>
        <v>37.87</v>
      </c>
      <c r="E4900" s="11"/>
      <c r="F4900" s="9"/>
    </row>
    <row r="4901" s="1" customFormat="1" customHeight="1" spans="1:6">
      <c r="A4901" s="9" t="str">
        <f>"10420116409"</f>
        <v>10420116409</v>
      </c>
      <c r="B4901" s="10">
        <v>35.37</v>
      </c>
      <c r="C4901" s="9"/>
      <c r="D4901" s="9">
        <f t="shared" si="76"/>
        <v>35.37</v>
      </c>
      <c r="E4901" s="11"/>
      <c r="F4901" s="9"/>
    </row>
    <row r="4902" s="1" customFormat="1" customHeight="1" spans="1:6">
      <c r="A4902" s="9" t="str">
        <f>"10380116410"</f>
        <v>10380116410</v>
      </c>
      <c r="B4902" s="10">
        <v>35.41</v>
      </c>
      <c r="C4902" s="9"/>
      <c r="D4902" s="9">
        <f t="shared" si="76"/>
        <v>35.41</v>
      </c>
      <c r="E4902" s="11"/>
      <c r="F4902" s="9"/>
    </row>
    <row r="4903" s="1" customFormat="1" customHeight="1" spans="1:6">
      <c r="A4903" s="9" t="str">
        <f>"10020116411"</f>
        <v>10020116411</v>
      </c>
      <c r="B4903" s="10">
        <v>0</v>
      </c>
      <c r="C4903" s="9"/>
      <c r="D4903" s="9">
        <f t="shared" si="76"/>
        <v>0</v>
      </c>
      <c r="E4903" s="11"/>
      <c r="F4903" s="9" t="s">
        <v>7</v>
      </c>
    </row>
    <row r="4904" s="1" customFormat="1" customHeight="1" spans="1:6">
      <c r="A4904" s="9" t="str">
        <f>"10330116412"</f>
        <v>10330116412</v>
      </c>
      <c r="B4904" s="10">
        <v>0</v>
      </c>
      <c r="C4904" s="9"/>
      <c r="D4904" s="9">
        <f t="shared" si="76"/>
        <v>0</v>
      </c>
      <c r="E4904" s="11"/>
      <c r="F4904" s="9" t="s">
        <v>7</v>
      </c>
    </row>
    <row r="4905" s="1" customFormat="1" customHeight="1" spans="1:6">
      <c r="A4905" s="9" t="str">
        <f>"10120116413"</f>
        <v>10120116413</v>
      </c>
      <c r="B4905" s="10">
        <v>39.16</v>
      </c>
      <c r="C4905" s="9"/>
      <c r="D4905" s="9">
        <f t="shared" si="76"/>
        <v>39.16</v>
      </c>
      <c r="E4905" s="11"/>
      <c r="F4905" s="9"/>
    </row>
    <row r="4906" s="1" customFormat="1" customHeight="1" spans="1:6">
      <c r="A4906" s="9" t="str">
        <f>"10130116414"</f>
        <v>10130116414</v>
      </c>
      <c r="B4906" s="10">
        <v>31.12</v>
      </c>
      <c r="C4906" s="9"/>
      <c r="D4906" s="9">
        <f t="shared" si="76"/>
        <v>31.12</v>
      </c>
      <c r="E4906" s="11"/>
      <c r="F4906" s="9"/>
    </row>
    <row r="4907" s="1" customFormat="1" customHeight="1" spans="1:6">
      <c r="A4907" s="9" t="str">
        <f>"10300116415"</f>
        <v>10300116415</v>
      </c>
      <c r="B4907" s="10">
        <v>37.88</v>
      </c>
      <c r="C4907" s="9"/>
      <c r="D4907" s="9">
        <f t="shared" si="76"/>
        <v>37.88</v>
      </c>
      <c r="E4907" s="11"/>
      <c r="F4907" s="9"/>
    </row>
    <row r="4908" s="1" customFormat="1" customHeight="1" spans="1:6">
      <c r="A4908" s="9" t="str">
        <f>"10360116416"</f>
        <v>10360116416</v>
      </c>
      <c r="B4908" s="10">
        <v>38.86</v>
      </c>
      <c r="C4908" s="9"/>
      <c r="D4908" s="9">
        <f t="shared" si="76"/>
        <v>38.86</v>
      </c>
      <c r="E4908" s="11"/>
      <c r="F4908" s="9"/>
    </row>
    <row r="4909" s="1" customFormat="1" customHeight="1" spans="1:6">
      <c r="A4909" s="9" t="str">
        <f>"10360116417"</f>
        <v>10360116417</v>
      </c>
      <c r="B4909" s="10">
        <v>33.46</v>
      </c>
      <c r="C4909" s="9"/>
      <c r="D4909" s="9">
        <f t="shared" si="76"/>
        <v>33.46</v>
      </c>
      <c r="E4909" s="11"/>
      <c r="F4909" s="9"/>
    </row>
    <row r="4910" s="1" customFormat="1" customHeight="1" spans="1:6">
      <c r="A4910" s="9" t="str">
        <f>"10300116418"</f>
        <v>10300116418</v>
      </c>
      <c r="B4910" s="10">
        <v>0</v>
      </c>
      <c r="C4910" s="9"/>
      <c r="D4910" s="9">
        <f t="shared" si="76"/>
        <v>0</v>
      </c>
      <c r="E4910" s="11"/>
      <c r="F4910" s="9" t="s">
        <v>7</v>
      </c>
    </row>
    <row r="4911" s="1" customFormat="1" customHeight="1" spans="1:6">
      <c r="A4911" s="9" t="str">
        <f>"10430116419"</f>
        <v>10430116419</v>
      </c>
      <c r="B4911" s="10">
        <v>36.17</v>
      </c>
      <c r="C4911" s="9"/>
      <c r="D4911" s="9">
        <f t="shared" si="76"/>
        <v>36.17</v>
      </c>
      <c r="E4911" s="11"/>
      <c r="F4911" s="9"/>
    </row>
    <row r="4912" s="1" customFormat="1" customHeight="1" spans="1:6">
      <c r="A4912" s="9" t="str">
        <f>"10080116420"</f>
        <v>10080116420</v>
      </c>
      <c r="B4912" s="10">
        <v>39.67</v>
      </c>
      <c r="C4912" s="9"/>
      <c r="D4912" s="9">
        <f t="shared" si="76"/>
        <v>39.67</v>
      </c>
      <c r="E4912" s="11"/>
      <c r="F4912" s="9"/>
    </row>
    <row r="4913" s="1" customFormat="1" customHeight="1" spans="1:6">
      <c r="A4913" s="9" t="str">
        <f>"10360116421"</f>
        <v>10360116421</v>
      </c>
      <c r="B4913" s="10">
        <v>0</v>
      </c>
      <c r="C4913" s="9"/>
      <c r="D4913" s="9">
        <f t="shared" si="76"/>
        <v>0</v>
      </c>
      <c r="E4913" s="11"/>
      <c r="F4913" s="9" t="s">
        <v>7</v>
      </c>
    </row>
    <row r="4914" s="1" customFormat="1" customHeight="1" spans="1:6">
      <c r="A4914" s="9" t="str">
        <f>"10360116422"</f>
        <v>10360116422</v>
      </c>
      <c r="B4914" s="10">
        <v>41.94</v>
      </c>
      <c r="C4914" s="9"/>
      <c r="D4914" s="9">
        <f t="shared" si="76"/>
        <v>41.94</v>
      </c>
      <c r="E4914" s="11"/>
      <c r="F4914" s="9"/>
    </row>
    <row r="4915" s="1" customFormat="1" customHeight="1" spans="1:6">
      <c r="A4915" s="9" t="str">
        <f>"10140116423"</f>
        <v>10140116423</v>
      </c>
      <c r="B4915" s="10">
        <v>38.77</v>
      </c>
      <c r="C4915" s="9"/>
      <c r="D4915" s="9">
        <f t="shared" si="76"/>
        <v>38.77</v>
      </c>
      <c r="E4915" s="11"/>
      <c r="F4915" s="9"/>
    </row>
    <row r="4916" s="1" customFormat="1" customHeight="1" spans="1:6">
      <c r="A4916" s="9" t="str">
        <f>"10350116424"</f>
        <v>10350116424</v>
      </c>
      <c r="B4916" s="10">
        <v>48.86</v>
      </c>
      <c r="C4916" s="9"/>
      <c r="D4916" s="9">
        <f t="shared" si="76"/>
        <v>48.86</v>
      </c>
      <c r="E4916" s="11"/>
      <c r="F4916" s="9"/>
    </row>
    <row r="4917" s="1" customFormat="1" customHeight="1" spans="1:6">
      <c r="A4917" s="9" t="str">
        <f>"10060116425"</f>
        <v>10060116425</v>
      </c>
      <c r="B4917" s="10">
        <v>33.41</v>
      </c>
      <c r="C4917" s="9"/>
      <c r="D4917" s="9">
        <f t="shared" si="76"/>
        <v>33.41</v>
      </c>
      <c r="E4917" s="11"/>
      <c r="F4917" s="9"/>
    </row>
    <row r="4918" s="1" customFormat="1" customHeight="1" spans="1:6">
      <c r="A4918" s="9" t="str">
        <f>"10210116426"</f>
        <v>10210116426</v>
      </c>
      <c r="B4918" s="10">
        <v>38.78</v>
      </c>
      <c r="C4918" s="9"/>
      <c r="D4918" s="9">
        <f t="shared" si="76"/>
        <v>38.78</v>
      </c>
      <c r="E4918" s="11"/>
      <c r="F4918" s="9"/>
    </row>
    <row r="4919" s="1" customFormat="1" customHeight="1" spans="1:6">
      <c r="A4919" s="9" t="str">
        <f>"20270116427"</f>
        <v>20270116427</v>
      </c>
      <c r="B4919" s="10">
        <v>0</v>
      </c>
      <c r="C4919" s="9"/>
      <c r="D4919" s="9">
        <f t="shared" si="76"/>
        <v>0</v>
      </c>
      <c r="E4919" s="11"/>
      <c r="F4919" s="9" t="s">
        <v>7</v>
      </c>
    </row>
    <row r="4920" s="1" customFormat="1" customHeight="1" spans="1:6">
      <c r="A4920" s="9" t="str">
        <f>"10440116428"</f>
        <v>10440116428</v>
      </c>
      <c r="B4920" s="10">
        <v>51.83</v>
      </c>
      <c r="C4920" s="9"/>
      <c r="D4920" s="9">
        <f t="shared" si="76"/>
        <v>51.83</v>
      </c>
      <c r="E4920" s="11"/>
      <c r="F4920" s="9"/>
    </row>
    <row r="4921" s="1" customFormat="1" customHeight="1" spans="1:6">
      <c r="A4921" s="9" t="str">
        <f>"10520116429"</f>
        <v>10520116429</v>
      </c>
      <c r="B4921" s="10">
        <v>36.9</v>
      </c>
      <c r="C4921" s="9"/>
      <c r="D4921" s="9">
        <f t="shared" si="76"/>
        <v>36.9</v>
      </c>
      <c r="E4921" s="11"/>
      <c r="F4921" s="9"/>
    </row>
    <row r="4922" s="1" customFormat="1" customHeight="1" spans="1:6">
      <c r="A4922" s="9" t="str">
        <f>"10060116430"</f>
        <v>10060116430</v>
      </c>
      <c r="B4922" s="10">
        <v>38.82</v>
      </c>
      <c r="C4922" s="9"/>
      <c r="D4922" s="9">
        <f t="shared" si="76"/>
        <v>38.82</v>
      </c>
      <c r="E4922" s="11"/>
      <c r="F4922" s="9"/>
    </row>
    <row r="4923" s="1" customFormat="1" customHeight="1" spans="1:6">
      <c r="A4923" s="9" t="str">
        <f>"10360116501"</f>
        <v>10360116501</v>
      </c>
      <c r="B4923" s="10">
        <v>47.98</v>
      </c>
      <c r="C4923" s="9"/>
      <c r="D4923" s="9">
        <f t="shared" si="76"/>
        <v>47.98</v>
      </c>
      <c r="E4923" s="11"/>
      <c r="F4923" s="9"/>
    </row>
    <row r="4924" s="1" customFormat="1" customHeight="1" spans="1:6">
      <c r="A4924" s="9" t="str">
        <f>"10360116502"</f>
        <v>10360116502</v>
      </c>
      <c r="B4924" s="10">
        <v>0</v>
      </c>
      <c r="C4924" s="9"/>
      <c r="D4924" s="9">
        <f t="shared" si="76"/>
        <v>0</v>
      </c>
      <c r="E4924" s="11"/>
      <c r="F4924" s="9" t="s">
        <v>7</v>
      </c>
    </row>
    <row r="4925" s="1" customFormat="1" customHeight="1" spans="1:6">
      <c r="A4925" s="9" t="str">
        <f>"20180116503"</f>
        <v>20180116503</v>
      </c>
      <c r="B4925" s="10">
        <v>38.38</v>
      </c>
      <c r="C4925" s="9"/>
      <c r="D4925" s="9">
        <f t="shared" si="76"/>
        <v>38.38</v>
      </c>
      <c r="E4925" s="11"/>
      <c r="F4925" s="9"/>
    </row>
    <row r="4926" s="1" customFormat="1" customHeight="1" spans="1:6">
      <c r="A4926" s="9" t="str">
        <f>"10210116504"</f>
        <v>10210116504</v>
      </c>
      <c r="B4926" s="10">
        <v>46.28</v>
      </c>
      <c r="C4926" s="9"/>
      <c r="D4926" s="9">
        <f t="shared" si="76"/>
        <v>46.28</v>
      </c>
      <c r="E4926" s="11"/>
      <c r="F4926" s="9"/>
    </row>
    <row r="4927" s="1" customFormat="1" customHeight="1" spans="1:6">
      <c r="A4927" s="9" t="str">
        <f>"10520116505"</f>
        <v>10520116505</v>
      </c>
      <c r="B4927" s="10">
        <v>37.25</v>
      </c>
      <c r="C4927" s="9"/>
      <c r="D4927" s="9">
        <f t="shared" si="76"/>
        <v>37.25</v>
      </c>
      <c r="E4927" s="11"/>
      <c r="F4927" s="9"/>
    </row>
    <row r="4928" s="1" customFormat="1" customHeight="1" spans="1:6">
      <c r="A4928" s="9" t="str">
        <f>"10290116506"</f>
        <v>10290116506</v>
      </c>
      <c r="B4928" s="10">
        <v>0</v>
      </c>
      <c r="C4928" s="9"/>
      <c r="D4928" s="9">
        <f t="shared" si="76"/>
        <v>0</v>
      </c>
      <c r="E4928" s="11"/>
      <c r="F4928" s="9" t="s">
        <v>7</v>
      </c>
    </row>
    <row r="4929" s="1" customFormat="1" customHeight="1" spans="1:6">
      <c r="A4929" s="9" t="str">
        <f>"10240116507"</f>
        <v>10240116507</v>
      </c>
      <c r="B4929" s="10">
        <v>45.27</v>
      </c>
      <c r="C4929" s="9"/>
      <c r="D4929" s="9">
        <f t="shared" si="76"/>
        <v>45.27</v>
      </c>
      <c r="E4929" s="11"/>
      <c r="F4929" s="9"/>
    </row>
    <row r="4930" s="1" customFormat="1" customHeight="1" spans="1:6">
      <c r="A4930" s="9" t="str">
        <f>"10100116508"</f>
        <v>10100116508</v>
      </c>
      <c r="B4930" s="10">
        <v>35.85</v>
      </c>
      <c r="C4930" s="9"/>
      <c r="D4930" s="9">
        <f t="shared" si="76"/>
        <v>35.85</v>
      </c>
      <c r="E4930" s="11"/>
      <c r="F4930" s="9"/>
    </row>
    <row r="4931" s="1" customFormat="1" customHeight="1" spans="1:6">
      <c r="A4931" s="9" t="str">
        <f>"10230116509"</f>
        <v>10230116509</v>
      </c>
      <c r="B4931" s="10">
        <v>36.58</v>
      </c>
      <c r="C4931" s="9"/>
      <c r="D4931" s="9">
        <f t="shared" ref="D4931:D4994" si="77">SUM(B4931:C4931)</f>
        <v>36.58</v>
      </c>
      <c r="E4931" s="11"/>
      <c r="F4931" s="9"/>
    </row>
    <row r="4932" s="1" customFormat="1" customHeight="1" spans="1:6">
      <c r="A4932" s="9" t="str">
        <f>"10360116510"</f>
        <v>10360116510</v>
      </c>
      <c r="B4932" s="10">
        <v>38.24</v>
      </c>
      <c r="C4932" s="9"/>
      <c r="D4932" s="9">
        <f t="shared" si="77"/>
        <v>38.24</v>
      </c>
      <c r="E4932" s="11"/>
      <c r="F4932" s="9"/>
    </row>
    <row r="4933" s="1" customFormat="1" customHeight="1" spans="1:6">
      <c r="A4933" s="9" t="str">
        <f>"10410116511"</f>
        <v>10410116511</v>
      </c>
      <c r="B4933" s="10">
        <v>46.61</v>
      </c>
      <c r="C4933" s="9"/>
      <c r="D4933" s="9">
        <f t="shared" si="77"/>
        <v>46.61</v>
      </c>
      <c r="E4933" s="11"/>
      <c r="F4933" s="9"/>
    </row>
    <row r="4934" s="1" customFormat="1" customHeight="1" spans="1:6">
      <c r="A4934" s="9" t="str">
        <f>"10480116512"</f>
        <v>10480116512</v>
      </c>
      <c r="B4934" s="10">
        <v>45.93</v>
      </c>
      <c r="C4934" s="9"/>
      <c r="D4934" s="9">
        <f t="shared" si="77"/>
        <v>45.93</v>
      </c>
      <c r="E4934" s="11"/>
      <c r="F4934" s="9"/>
    </row>
    <row r="4935" s="1" customFormat="1" customHeight="1" spans="1:6">
      <c r="A4935" s="9" t="str">
        <f>"10530116513"</f>
        <v>10530116513</v>
      </c>
      <c r="B4935" s="10">
        <v>37.45</v>
      </c>
      <c r="C4935" s="9"/>
      <c r="D4935" s="9">
        <f t="shared" si="77"/>
        <v>37.45</v>
      </c>
      <c r="E4935" s="11"/>
      <c r="F4935" s="9"/>
    </row>
    <row r="4936" s="1" customFormat="1" customHeight="1" spans="1:6">
      <c r="A4936" s="9" t="str">
        <f>"20180116514"</f>
        <v>20180116514</v>
      </c>
      <c r="B4936" s="10">
        <v>41.21</v>
      </c>
      <c r="C4936" s="9"/>
      <c r="D4936" s="9">
        <f t="shared" si="77"/>
        <v>41.21</v>
      </c>
      <c r="E4936" s="11"/>
      <c r="F4936" s="9"/>
    </row>
    <row r="4937" s="1" customFormat="1" customHeight="1" spans="1:6">
      <c r="A4937" s="9" t="str">
        <f>"10330116515"</f>
        <v>10330116515</v>
      </c>
      <c r="B4937" s="10">
        <v>44.7</v>
      </c>
      <c r="C4937" s="9"/>
      <c r="D4937" s="9">
        <f t="shared" si="77"/>
        <v>44.7</v>
      </c>
      <c r="E4937" s="11"/>
      <c r="F4937" s="9"/>
    </row>
    <row r="4938" s="1" customFormat="1" customHeight="1" spans="1:6">
      <c r="A4938" s="9" t="str">
        <f>"10300116516"</f>
        <v>10300116516</v>
      </c>
      <c r="B4938" s="10">
        <v>26.37</v>
      </c>
      <c r="C4938" s="9"/>
      <c r="D4938" s="9">
        <f t="shared" si="77"/>
        <v>26.37</v>
      </c>
      <c r="E4938" s="11"/>
      <c r="F4938" s="9"/>
    </row>
    <row r="4939" s="1" customFormat="1" customHeight="1" spans="1:6">
      <c r="A4939" s="9" t="str">
        <f>"10270116517"</f>
        <v>10270116517</v>
      </c>
      <c r="B4939" s="10">
        <v>0</v>
      </c>
      <c r="C4939" s="9"/>
      <c r="D4939" s="9">
        <f t="shared" si="77"/>
        <v>0</v>
      </c>
      <c r="E4939" s="11"/>
      <c r="F4939" s="9" t="s">
        <v>7</v>
      </c>
    </row>
    <row r="4940" s="1" customFormat="1" customHeight="1" spans="1:6">
      <c r="A4940" s="9" t="str">
        <f>"10200116518"</f>
        <v>10200116518</v>
      </c>
      <c r="B4940" s="10">
        <v>44.18</v>
      </c>
      <c r="C4940" s="9"/>
      <c r="D4940" s="9">
        <f t="shared" si="77"/>
        <v>44.18</v>
      </c>
      <c r="E4940" s="11"/>
      <c r="F4940" s="9"/>
    </row>
    <row r="4941" s="1" customFormat="1" customHeight="1" spans="1:6">
      <c r="A4941" s="9" t="str">
        <f>"10140116519"</f>
        <v>10140116519</v>
      </c>
      <c r="B4941" s="10">
        <v>47.42</v>
      </c>
      <c r="C4941" s="9"/>
      <c r="D4941" s="9">
        <f t="shared" si="77"/>
        <v>47.42</v>
      </c>
      <c r="E4941" s="11"/>
      <c r="F4941" s="9"/>
    </row>
    <row r="4942" s="1" customFormat="1" customHeight="1" spans="1:6">
      <c r="A4942" s="9" t="str">
        <f>"10130116520"</f>
        <v>10130116520</v>
      </c>
      <c r="B4942" s="10">
        <v>48.72</v>
      </c>
      <c r="C4942" s="9"/>
      <c r="D4942" s="9">
        <f t="shared" si="77"/>
        <v>48.72</v>
      </c>
      <c r="E4942" s="11"/>
      <c r="F4942" s="9"/>
    </row>
    <row r="4943" s="1" customFormat="1" customHeight="1" spans="1:6">
      <c r="A4943" s="9" t="str">
        <f>"10140116521"</f>
        <v>10140116521</v>
      </c>
      <c r="B4943" s="10">
        <v>46.64</v>
      </c>
      <c r="C4943" s="9"/>
      <c r="D4943" s="9">
        <f t="shared" si="77"/>
        <v>46.64</v>
      </c>
      <c r="E4943" s="11"/>
      <c r="F4943" s="9"/>
    </row>
    <row r="4944" s="1" customFormat="1" customHeight="1" spans="1:6">
      <c r="A4944" s="9" t="str">
        <f>"10300116522"</f>
        <v>10300116522</v>
      </c>
      <c r="B4944" s="10">
        <v>0</v>
      </c>
      <c r="C4944" s="9"/>
      <c r="D4944" s="9">
        <f t="shared" si="77"/>
        <v>0</v>
      </c>
      <c r="E4944" s="11"/>
      <c r="F4944" s="9" t="s">
        <v>7</v>
      </c>
    </row>
    <row r="4945" s="1" customFormat="1" customHeight="1" spans="1:6">
      <c r="A4945" s="9" t="str">
        <f>"10400116523"</f>
        <v>10400116523</v>
      </c>
      <c r="B4945" s="10">
        <v>47.35</v>
      </c>
      <c r="C4945" s="9"/>
      <c r="D4945" s="9">
        <f t="shared" si="77"/>
        <v>47.35</v>
      </c>
      <c r="E4945" s="11"/>
      <c r="F4945" s="9"/>
    </row>
    <row r="4946" s="1" customFormat="1" customHeight="1" spans="1:6">
      <c r="A4946" s="9" t="str">
        <f>"10300116524"</f>
        <v>10300116524</v>
      </c>
      <c r="B4946" s="10">
        <v>42.41</v>
      </c>
      <c r="C4946" s="9"/>
      <c r="D4946" s="9">
        <f t="shared" si="77"/>
        <v>42.41</v>
      </c>
      <c r="E4946" s="11"/>
      <c r="F4946" s="9"/>
    </row>
    <row r="4947" s="1" customFormat="1" customHeight="1" spans="1:6">
      <c r="A4947" s="9" t="str">
        <f>"10420116525"</f>
        <v>10420116525</v>
      </c>
      <c r="B4947" s="10">
        <v>0</v>
      </c>
      <c r="C4947" s="9"/>
      <c r="D4947" s="9">
        <f t="shared" si="77"/>
        <v>0</v>
      </c>
      <c r="E4947" s="11"/>
      <c r="F4947" s="9" t="s">
        <v>7</v>
      </c>
    </row>
    <row r="4948" s="1" customFormat="1" customHeight="1" spans="1:6">
      <c r="A4948" s="9" t="str">
        <f>"10010116526"</f>
        <v>10010116526</v>
      </c>
      <c r="B4948" s="10">
        <v>43.99</v>
      </c>
      <c r="C4948" s="9"/>
      <c r="D4948" s="9">
        <f t="shared" si="77"/>
        <v>43.99</v>
      </c>
      <c r="E4948" s="11"/>
      <c r="F4948" s="9"/>
    </row>
    <row r="4949" s="1" customFormat="1" customHeight="1" spans="1:6">
      <c r="A4949" s="9" t="str">
        <f>"10020116527"</f>
        <v>10020116527</v>
      </c>
      <c r="B4949" s="10">
        <v>0</v>
      </c>
      <c r="C4949" s="9"/>
      <c r="D4949" s="9">
        <f t="shared" si="77"/>
        <v>0</v>
      </c>
      <c r="E4949" s="11"/>
      <c r="F4949" s="9" t="s">
        <v>7</v>
      </c>
    </row>
    <row r="4950" s="1" customFormat="1" customHeight="1" spans="1:6">
      <c r="A4950" s="9" t="str">
        <f>"10010116528"</f>
        <v>10010116528</v>
      </c>
      <c r="B4950" s="10">
        <v>40.44</v>
      </c>
      <c r="C4950" s="9"/>
      <c r="D4950" s="9">
        <f t="shared" si="77"/>
        <v>40.44</v>
      </c>
      <c r="E4950" s="11"/>
      <c r="F4950" s="9"/>
    </row>
    <row r="4951" s="1" customFormat="1" customHeight="1" spans="1:6">
      <c r="A4951" s="9" t="str">
        <f>"10360116529"</f>
        <v>10360116529</v>
      </c>
      <c r="B4951" s="10">
        <v>46.18</v>
      </c>
      <c r="C4951" s="9"/>
      <c r="D4951" s="9">
        <f t="shared" si="77"/>
        <v>46.18</v>
      </c>
      <c r="E4951" s="11"/>
      <c r="F4951" s="9"/>
    </row>
    <row r="4952" s="1" customFormat="1" customHeight="1" spans="1:6">
      <c r="A4952" s="9" t="str">
        <f>"10280116530"</f>
        <v>10280116530</v>
      </c>
      <c r="B4952" s="10">
        <v>34.27</v>
      </c>
      <c r="C4952" s="9"/>
      <c r="D4952" s="9">
        <f t="shared" si="77"/>
        <v>34.27</v>
      </c>
      <c r="E4952" s="11"/>
      <c r="F4952" s="9"/>
    </row>
    <row r="4953" s="1" customFormat="1" customHeight="1" spans="1:6">
      <c r="A4953" s="9" t="str">
        <f>"10380116601"</f>
        <v>10380116601</v>
      </c>
      <c r="B4953" s="10">
        <v>48.01</v>
      </c>
      <c r="C4953" s="9"/>
      <c r="D4953" s="9">
        <f t="shared" si="77"/>
        <v>48.01</v>
      </c>
      <c r="E4953" s="11"/>
      <c r="F4953" s="9"/>
    </row>
    <row r="4954" s="1" customFormat="1" customHeight="1" spans="1:6">
      <c r="A4954" s="9" t="str">
        <f>"10140116602"</f>
        <v>10140116602</v>
      </c>
      <c r="B4954" s="10">
        <v>40.96</v>
      </c>
      <c r="C4954" s="9"/>
      <c r="D4954" s="9">
        <f t="shared" si="77"/>
        <v>40.96</v>
      </c>
      <c r="E4954" s="11"/>
      <c r="F4954" s="9"/>
    </row>
    <row r="4955" s="1" customFormat="1" customHeight="1" spans="1:6">
      <c r="A4955" s="9" t="str">
        <f>"10360116603"</f>
        <v>10360116603</v>
      </c>
      <c r="B4955" s="10">
        <v>24.93</v>
      </c>
      <c r="C4955" s="9"/>
      <c r="D4955" s="9">
        <f t="shared" si="77"/>
        <v>24.93</v>
      </c>
      <c r="E4955" s="11"/>
      <c r="F4955" s="9"/>
    </row>
    <row r="4956" s="1" customFormat="1" customHeight="1" spans="1:6">
      <c r="A4956" s="9" t="str">
        <f>"10090116604"</f>
        <v>10090116604</v>
      </c>
      <c r="B4956" s="10">
        <v>0</v>
      </c>
      <c r="C4956" s="9"/>
      <c r="D4956" s="9">
        <f t="shared" si="77"/>
        <v>0</v>
      </c>
      <c r="E4956" s="11"/>
      <c r="F4956" s="9" t="s">
        <v>7</v>
      </c>
    </row>
    <row r="4957" s="1" customFormat="1" customHeight="1" spans="1:6">
      <c r="A4957" s="9" t="str">
        <f>"10360116605"</f>
        <v>10360116605</v>
      </c>
      <c r="B4957" s="10">
        <v>41.13</v>
      </c>
      <c r="C4957" s="9"/>
      <c r="D4957" s="9">
        <f t="shared" si="77"/>
        <v>41.13</v>
      </c>
      <c r="E4957" s="11"/>
      <c r="F4957" s="9"/>
    </row>
    <row r="4958" s="1" customFormat="1" customHeight="1" spans="1:6">
      <c r="A4958" s="9" t="str">
        <f>"10240116606"</f>
        <v>10240116606</v>
      </c>
      <c r="B4958" s="10">
        <v>41.64</v>
      </c>
      <c r="C4958" s="9"/>
      <c r="D4958" s="9">
        <f t="shared" si="77"/>
        <v>41.64</v>
      </c>
      <c r="E4958" s="11"/>
      <c r="F4958" s="9"/>
    </row>
    <row r="4959" s="1" customFormat="1" customHeight="1" spans="1:6">
      <c r="A4959" s="9" t="str">
        <f>"10300116607"</f>
        <v>10300116607</v>
      </c>
      <c r="B4959" s="10">
        <v>41.5</v>
      </c>
      <c r="C4959" s="9"/>
      <c r="D4959" s="9">
        <f t="shared" si="77"/>
        <v>41.5</v>
      </c>
      <c r="E4959" s="11"/>
      <c r="F4959" s="9"/>
    </row>
    <row r="4960" s="1" customFormat="1" customHeight="1" spans="1:6">
      <c r="A4960" s="9" t="str">
        <f>"10420116608"</f>
        <v>10420116608</v>
      </c>
      <c r="B4960" s="10">
        <v>0</v>
      </c>
      <c r="C4960" s="9"/>
      <c r="D4960" s="9">
        <f t="shared" si="77"/>
        <v>0</v>
      </c>
      <c r="E4960" s="11"/>
      <c r="F4960" s="9" t="s">
        <v>7</v>
      </c>
    </row>
    <row r="4961" s="1" customFormat="1" customHeight="1" spans="1:6">
      <c r="A4961" s="9" t="str">
        <f>"10360116609"</f>
        <v>10360116609</v>
      </c>
      <c r="B4961" s="10">
        <v>40.88</v>
      </c>
      <c r="C4961" s="9"/>
      <c r="D4961" s="9">
        <f t="shared" si="77"/>
        <v>40.88</v>
      </c>
      <c r="E4961" s="11"/>
      <c r="F4961" s="9"/>
    </row>
    <row r="4962" s="1" customFormat="1" customHeight="1" spans="1:6">
      <c r="A4962" s="9" t="str">
        <f>"10510116610"</f>
        <v>10510116610</v>
      </c>
      <c r="B4962" s="10">
        <v>41.4</v>
      </c>
      <c r="C4962" s="9"/>
      <c r="D4962" s="9">
        <f t="shared" si="77"/>
        <v>41.4</v>
      </c>
      <c r="E4962" s="11"/>
      <c r="F4962" s="9"/>
    </row>
    <row r="4963" s="1" customFormat="1" customHeight="1" spans="1:6">
      <c r="A4963" s="9" t="str">
        <f>"10360116611"</f>
        <v>10360116611</v>
      </c>
      <c r="B4963" s="10">
        <v>33.66</v>
      </c>
      <c r="C4963" s="9"/>
      <c r="D4963" s="9">
        <f t="shared" si="77"/>
        <v>33.66</v>
      </c>
      <c r="E4963" s="11"/>
      <c r="F4963" s="9"/>
    </row>
    <row r="4964" s="1" customFormat="1" customHeight="1" spans="1:6">
      <c r="A4964" s="9" t="str">
        <f>"10360116612"</f>
        <v>10360116612</v>
      </c>
      <c r="B4964" s="10">
        <v>37.18</v>
      </c>
      <c r="C4964" s="9"/>
      <c r="D4964" s="9">
        <f t="shared" si="77"/>
        <v>37.18</v>
      </c>
      <c r="E4964" s="11"/>
      <c r="F4964" s="9"/>
    </row>
    <row r="4965" s="1" customFormat="1" customHeight="1" spans="1:6">
      <c r="A4965" s="9" t="str">
        <f>"10180116613"</f>
        <v>10180116613</v>
      </c>
      <c r="B4965" s="10">
        <v>0</v>
      </c>
      <c r="C4965" s="9"/>
      <c r="D4965" s="9">
        <f t="shared" si="77"/>
        <v>0</v>
      </c>
      <c r="E4965" s="11"/>
      <c r="F4965" s="9" t="s">
        <v>7</v>
      </c>
    </row>
    <row r="4966" s="1" customFormat="1" customHeight="1" spans="1:6">
      <c r="A4966" s="9" t="str">
        <f>"10110116614"</f>
        <v>10110116614</v>
      </c>
      <c r="B4966" s="10">
        <v>47.76</v>
      </c>
      <c r="C4966" s="9"/>
      <c r="D4966" s="9">
        <f t="shared" si="77"/>
        <v>47.76</v>
      </c>
      <c r="E4966" s="11"/>
      <c r="F4966" s="9"/>
    </row>
    <row r="4967" s="1" customFormat="1" customHeight="1" spans="1:6">
      <c r="A4967" s="9" t="str">
        <f>"10140116615"</f>
        <v>10140116615</v>
      </c>
      <c r="B4967" s="10">
        <v>0</v>
      </c>
      <c r="C4967" s="9"/>
      <c r="D4967" s="9">
        <f t="shared" si="77"/>
        <v>0</v>
      </c>
      <c r="E4967" s="11"/>
      <c r="F4967" s="9" t="s">
        <v>7</v>
      </c>
    </row>
    <row r="4968" s="1" customFormat="1" customHeight="1" spans="1:6">
      <c r="A4968" s="9" t="str">
        <f>"10090116616"</f>
        <v>10090116616</v>
      </c>
      <c r="B4968" s="10">
        <v>0</v>
      </c>
      <c r="C4968" s="9"/>
      <c r="D4968" s="9">
        <f t="shared" si="77"/>
        <v>0</v>
      </c>
      <c r="E4968" s="11"/>
      <c r="F4968" s="9" t="s">
        <v>7</v>
      </c>
    </row>
    <row r="4969" s="1" customFormat="1" customHeight="1" spans="1:6">
      <c r="A4969" s="9" t="str">
        <f>"10170116617"</f>
        <v>10170116617</v>
      </c>
      <c r="B4969" s="10">
        <v>0</v>
      </c>
      <c r="C4969" s="9"/>
      <c r="D4969" s="9">
        <f t="shared" si="77"/>
        <v>0</v>
      </c>
      <c r="E4969" s="11"/>
      <c r="F4969" s="9" t="s">
        <v>7</v>
      </c>
    </row>
    <row r="4970" s="1" customFormat="1" customHeight="1" spans="1:6">
      <c r="A4970" s="9" t="str">
        <f>"10060116618"</f>
        <v>10060116618</v>
      </c>
      <c r="B4970" s="10">
        <v>0</v>
      </c>
      <c r="C4970" s="9"/>
      <c r="D4970" s="9">
        <f t="shared" si="77"/>
        <v>0</v>
      </c>
      <c r="E4970" s="11"/>
      <c r="F4970" s="9" t="s">
        <v>7</v>
      </c>
    </row>
    <row r="4971" s="1" customFormat="1" customHeight="1" spans="1:6">
      <c r="A4971" s="9" t="str">
        <f>"10360116619"</f>
        <v>10360116619</v>
      </c>
      <c r="B4971" s="10">
        <v>47.49</v>
      </c>
      <c r="C4971" s="9">
        <v>10</v>
      </c>
      <c r="D4971" s="9">
        <f t="shared" si="77"/>
        <v>57.49</v>
      </c>
      <c r="E4971" s="12" t="s">
        <v>8</v>
      </c>
      <c r="F4971" s="9"/>
    </row>
    <row r="4972" s="1" customFormat="1" customHeight="1" spans="1:6">
      <c r="A4972" s="9" t="str">
        <f>"10360116620"</f>
        <v>10360116620</v>
      </c>
      <c r="B4972" s="10">
        <v>0</v>
      </c>
      <c r="C4972" s="9"/>
      <c r="D4972" s="9">
        <f t="shared" si="77"/>
        <v>0</v>
      </c>
      <c r="E4972" s="11"/>
      <c r="F4972" s="9" t="s">
        <v>7</v>
      </c>
    </row>
    <row r="4973" s="1" customFormat="1" customHeight="1" spans="1:6">
      <c r="A4973" s="9" t="str">
        <f>"10340116621"</f>
        <v>10340116621</v>
      </c>
      <c r="B4973" s="10">
        <v>0</v>
      </c>
      <c r="C4973" s="9"/>
      <c r="D4973" s="9">
        <f t="shared" si="77"/>
        <v>0</v>
      </c>
      <c r="E4973" s="11"/>
      <c r="F4973" s="9" t="s">
        <v>7</v>
      </c>
    </row>
    <row r="4974" s="1" customFormat="1" customHeight="1" spans="1:6">
      <c r="A4974" s="9" t="str">
        <f>"10360116622"</f>
        <v>10360116622</v>
      </c>
      <c r="B4974" s="10">
        <v>0</v>
      </c>
      <c r="C4974" s="9"/>
      <c r="D4974" s="9">
        <f t="shared" si="77"/>
        <v>0</v>
      </c>
      <c r="E4974" s="11"/>
      <c r="F4974" s="9" t="s">
        <v>7</v>
      </c>
    </row>
    <row r="4975" s="1" customFormat="1" customHeight="1" spans="1:6">
      <c r="A4975" s="9" t="str">
        <f>"10360116623"</f>
        <v>10360116623</v>
      </c>
      <c r="B4975" s="10">
        <v>0</v>
      </c>
      <c r="C4975" s="9"/>
      <c r="D4975" s="9">
        <f t="shared" si="77"/>
        <v>0</v>
      </c>
      <c r="E4975" s="11"/>
      <c r="F4975" s="9" t="s">
        <v>7</v>
      </c>
    </row>
    <row r="4976" s="1" customFormat="1" customHeight="1" spans="1:6">
      <c r="A4976" s="9" t="str">
        <f>"10360116624"</f>
        <v>10360116624</v>
      </c>
      <c r="B4976" s="10">
        <v>37.75</v>
      </c>
      <c r="C4976" s="9"/>
      <c r="D4976" s="9">
        <f t="shared" si="77"/>
        <v>37.75</v>
      </c>
      <c r="E4976" s="11"/>
      <c r="F4976" s="9"/>
    </row>
    <row r="4977" s="1" customFormat="1" customHeight="1" spans="1:6">
      <c r="A4977" s="9" t="str">
        <f>"10360116625"</f>
        <v>10360116625</v>
      </c>
      <c r="B4977" s="10">
        <v>37.85</v>
      </c>
      <c r="C4977" s="9"/>
      <c r="D4977" s="9">
        <f t="shared" si="77"/>
        <v>37.85</v>
      </c>
      <c r="E4977" s="11"/>
      <c r="F4977" s="9"/>
    </row>
    <row r="4978" s="1" customFormat="1" customHeight="1" spans="1:6">
      <c r="A4978" s="9" t="str">
        <f>"10480116626"</f>
        <v>10480116626</v>
      </c>
      <c r="B4978" s="10">
        <v>45.17</v>
      </c>
      <c r="C4978" s="9"/>
      <c r="D4978" s="9">
        <f t="shared" si="77"/>
        <v>45.17</v>
      </c>
      <c r="E4978" s="11"/>
      <c r="F4978" s="9"/>
    </row>
    <row r="4979" s="1" customFormat="1" customHeight="1" spans="1:6">
      <c r="A4979" s="9" t="str">
        <f>"10360116627"</f>
        <v>10360116627</v>
      </c>
      <c r="B4979" s="10">
        <v>36.86</v>
      </c>
      <c r="C4979" s="9"/>
      <c r="D4979" s="9">
        <f t="shared" si="77"/>
        <v>36.86</v>
      </c>
      <c r="E4979" s="11"/>
      <c r="F4979" s="9"/>
    </row>
    <row r="4980" s="1" customFormat="1" customHeight="1" spans="1:6">
      <c r="A4980" s="9" t="str">
        <f>"10110116628"</f>
        <v>10110116628</v>
      </c>
      <c r="B4980" s="10">
        <v>50.34</v>
      </c>
      <c r="C4980" s="9"/>
      <c r="D4980" s="9">
        <f t="shared" si="77"/>
        <v>50.34</v>
      </c>
      <c r="E4980" s="11"/>
      <c r="F4980" s="9"/>
    </row>
    <row r="4981" s="1" customFormat="1" customHeight="1" spans="1:6">
      <c r="A4981" s="9" t="str">
        <f>"10440116629"</f>
        <v>10440116629</v>
      </c>
      <c r="B4981" s="10">
        <v>37.43</v>
      </c>
      <c r="C4981" s="9"/>
      <c r="D4981" s="9">
        <f t="shared" si="77"/>
        <v>37.43</v>
      </c>
      <c r="E4981" s="11"/>
      <c r="F4981" s="9"/>
    </row>
    <row r="4982" s="1" customFormat="1" customHeight="1" spans="1:6">
      <c r="A4982" s="9" t="str">
        <f>"10330116630"</f>
        <v>10330116630</v>
      </c>
      <c r="B4982" s="10">
        <v>37.16</v>
      </c>
      <c r="C4982" s="9"/>
      <c r="D4982" s="9">
        <f t="shared" si="77"/>
        <v>37.16</v>
      </c>
      <c r="E4982" s="11"/>
      <c r="F4982" s="9"/>
    </row>
    <row r="4983" s="1" customFormat="1" customHeight="1" spans="1:6">
      <c r="A4983" s="9" t="str">
        <f>"10210116701"</f>
        <v>10210116701</v>
      </c>
      <c r="B4983" s="10">
        <v>39.75</v>
      </c>
      <c r="C4983" s="9"/>
      <c r="D4983" s="9">
        <f t="shared" si="77"/>
        <v>39.75</v>
      </c>
      <c r="E4983" s="11"/>
      <c r="F4983" s="9"/>
    </row>
    <row r="4984" s="1" customFormat="1" customHeight="1" spans="1:6">
      <c r="A4984" s="9" t="str">
        <f>"10160116702"</f>
        <v>10160116702</v>
      </c>
      <c r="B4984" s="10">
        <v>0</v>
      </c>
      <c r="C4984" s="9"/>
      <c r="D4984" s="9">
        <f t="shared" si="77"/>
        <v>0</v>
      </c>
      <c r="E4984" s="11"/>
      <c r="F4984" s="9" t="s">
        <v>7</v>
      </c>
    </row>
    <row r="4985" s="1" customFormat="1" customHeight="1" spans="1:6">
      <c r="A4985" s="9" t="str">
        <f>"10330116703"</f>
        <v>10330116703</v>
      </c>
      <c r="B4985" s="10">
        <v>0</v>
      </c>
      <c r="C4985" s="9"/>
      <c r="D4985" s="9">
        <f t="shared" si="77"/>
        <v>0</v>
      </c>
      <c r="E4985" s="11"/>
      <c r="F4985" s="9" t="s">
        <v>7</v>
      </c>
    </row>
    <row r="4986" s="1" customFormat="1" customHeight="1" spans="1:6">
      <c r="A4986" s="9" t="str">
        <f>"10070116704"</f>
        <v>10070116704</v>
      </c>
      <c r="B4986" s="10">
        <v>0</v>
      </c>
      <c r="C4986" s="9"/>
      <c r="D4986" s="9">
        <f t="shared" si="77"/>
        <v>0</v>
      </c>
      <c r="E4986" s="11"/>
      <c r="F4986" s="9" t="s">
        <v>7</v>
      </c>
    </row>
    <row r="4987" s="1" customFormat="1" customHeight="1" spans="1:6">
      <c r="A4987" s="9" t="str">
        <f>"10520116705"</f>
        <v>10520116705</v>
      </c>
      <c r="B4987" s="10">
        <v>48.88</v>
      </c>
      <c r="C4987" s="9"/>
      <c r="D4987" s="9">
        <f t="shared" si="77"/>
        <v>48.88</v>
      </c>
      <c r="E4987" s="11"/>
      <c r="F4987" s="9"/>
    </row>
    <row r="4988" s="1" customFormat="1" customHeight="1" spans="1:6">
      <c r="A4988" s="9" t="str">
        <f>"10230116706"</f>
        <v>10230116706</v>
      </c>
      <c r="B4988" s="10">
        <v>42.08</v>
      </c>
      <c r="C4988" s="9"/>
      <c r="D4988" s="9">
        <f t="shared" si="77"/>
        <v>42.08</v>
      </c>
      <c r="E4988" s="11"/>
      <c r="F4988" s="9"/>
    </row>
    <row r="4989" s="1" customFormat="1" customHeight="1" spans="1:6">
      <c r="A4989" s="9" t="str">
        <f>"20270116707"</f>
        <v>20270116707</v>
      </c>
      <c r="B4989" s="10">
        <v>40.78</v>
      </c>
      <c r="C4989" s="9"/>
      <c r="D4989" s="9">
        <f t="shared" si="77"/>
        <v>40.78</v>
      </c>
      <c r="E4989" s="11"/>
      <c r="F4989" s="9"/>
    </row>
    <row r="4990" s="1" customFormat="1" customHeight="1" spans="1:6">
      <c r="A4990" s="9" t="str">
        <f>"10360116708"</f>
        <v>10360116708</v>
      </c>
      <c r="B4990" s="10">
        <v>32.73</v>
      </c>
      <c r="C4990" s="9"/>
      <c r="D4990" s="9">
        <f t="shared" si="77"/>
        <v>32.73</v>
      </c>
      <c r="E4990" s="11"/>
      <c r="F4990" s="9"/>
    </row>
    <row r="4991" s="1" customFormat="1" customHeight="1" spans="1:6">
      <c r="A4991" s="9" t="str">
        <f>"10130116709"</f>
        <v>10130116709</v>
      </c>
      <c r="B4991" s="10">
        <v>42.5</v>
      </c>
      <c r="C4991" s="9"/>
      <c r="D4991" s="9">
        <f t="shared" si="77"/>
        <v>42.5</v>
      </c>
      <c r="E4991" s="11"/>
      <c r="F4991" s="9"/>
    </row>
    <row r="4992" s="1" customFormat="1" customHeight="1" spans="1:6">
      <c r="A4992" s="9" t="str">
        <f>"10360116710"</f>
        <v>10360116710</v>
      </c>
      <c r="B4992" s="10">
        <v>0</v>
      </c>
      <c r="C4992" s="9"/>
      <c r="D4992" s="9">
        <f t="shared" si="77"/>
        <v>0</v>
      </c>
      <c r="E4992" s="11"/>
      <c r="F4992" s="9" t="s">
        <v>7</v>
      </c>
    </row>
    <row r="4993" s="1" customFormat="1" customHeight="1" spans="1:6">
      <c r="A4993" s="9" t="str">
        <f>"10380116711"</f>
        <v>10380116711</v>
      </c>
      <c r="B4993" s="10">
        <v>0</v>
      </c>
      <c r="C4993" s="9"/>
      <c r="D4993" s="9">
        <f t="shared" si="77"/>
        <v>0</v>
      </c>
      <c r="E4993" s="11"/>
      <c r="F4993" s="9" t="s">
        <v>7</v>
      </c>
    </row>
    <row r="4994" s="1" customFormat="1" customHeight="1" spans="1:6">
      <c r="A4994" s="9" t="str">
        <f>"10240116712"</f>
        <v>10240116712</v>
      </c>
      <c r="B4994" s="10">
        <v>44.95</v>
      </c>
      <c r="C4994" s="9"/>
      <c r="D4994" s="9">
        <f t="shared" si="77"/>
        <v>44.95</v>
      </c>
      <c r="E4994" s="11"/>
      <c r="F4994" s="9"/>
    </row>
    <row r="4995" s="1" customFormat="1" customHeight="1" spans="1:6">
      <c r="A4995" s="9" t="str">
        <f>"10240116713"</f>
        <v>10240116713</v>
      </c>
      <c r="B4995" s="10">
        <v>39.39</v>
      </c>
      <c r="C4995" s="9"/>
      <c r="D4995" s="9">
        <f t="shared" ref="D4995:D5058" si="78">SUM(B4995:C4995)</f>
        <v>39.39</v>
      </c>
      <c r="E4995" s="11"/>
      <c r="F4995" s="9"/>
    </row>
    <row r="4996" s="1" customFormat="1" customHeight="1" spans="1:6">
      <c r="A4996" s="9" t="str">
        <f>"10060116714"</f>
        <v>10060116714</v>
      </c>
      <c r="B4996" s="10">
        <v>35.85</v>
      </c>
      <c r="C4996" s="9"/>
      <c r="D4996" s="9">
        <f t="shared" si="78"/>
        <v>35.85</v>
      </c>
      <c r="E4996" s="11"/>
      <c r="F4996" s="9"/>
    </row>
    <row r="4997" s="1" customFormat="1" customHeight="1" spans="1:6">
      <c r="A4997" s="9" t="str">
        <f>"20270116715"</f>
        <v>20270116715</v>
      </c>
      <c r="B4997" s="10">
        <v>0</v>
      </c>
      <c r="C4997" s="9"/>
      <c r="D4997" s="9">
        <f t="shared" si="78"/>
        <v>0</v>
      </c>
      <c r="E4997" s="11"/>
      <c r="F4997" s="9" t="s">
        <v>7</v>
      </c>
    </row>
    <row r="4998" s="1" customFormat="1" customHeight="1" spans="1:6">
      <c r="A4998" s="9" t="str">
        <f>"10480116716"</f>
        <v>10480116716</v>
      </c>
      <c r="B4998" s="10">
        <v>47</v>
      </c>
      <c r="C4998" s="9"/>
      <c r="D4998" s="9">
        <f t="shared" si="78"/>
        <v>47</v>
      </c>
      <c r="E4998" s="11"/>
      <c r="F4998" s="9"/>
    </row>
    <row r="4999" s="1" customFormat="1" customHeight="1" spans="1:6">
      <c r="A4999" s="9" t="str">
        <f>"10330116717"</f>
        <v>10330116717</v>
      </c>
      <c r="B4999" s="10">
        <v>49.6</v>
      </c>
      <c r="C4999" s="9"/>
      <c r="D4999" s="9">
        <f t="shared" si="78"/>
        <v>49.6</v>
      </c>
      <c r="E4999" s="11"/>
      <c r="F4999" s="9"/>
    </row>
    <row r="5000" s="1" customFormat="1" customHeight="1" spans="1:6">
      <c r="A5000" s="9" t="str">
        <f>"10510116718"</f>
        <v>10510116718</v>
      </c>
      <c r="B5000" s="10">
        <v>0</v>
      </c>
      <c r="C5000" s="9"/>
      <c r="D5000" s="9">
        <f t="shared" si="78"/>
        <v>0</v>
      </c>
      <c r="E5000" s="11"/>
      <c r="F5000" s="9" t="s">
        <v>7</v>
      </c>
    </row>
    <row r="5001" s="1" customFormat="1" customHeight="1" spans="1:6">
      <c r="A5001" s="9" t="str">
        <f>"10530116719"</f>
        <v>10530116719</v>
      </c>
      <c r="B5001" s="10">
        <v>37.46</v>
      </c>
      <c r="C5001" s="9"/>
      <c r="D5001" s="9">
        <f t="shared" si="78"/>
        <v>37.46</v>
      </c>
      <c r="E5001" s="11"/>
      <c r="F5001" s="9"/>
    </row>
    <row r="5002" s="1" customFormat="1" customHeight="1" spans="1:6">
      <c r="A5002" s="9" t="str">
        <f>"10440116720"</f>
        <v>10440116720</v>
      </c>
      <c r="B5002" s="10">
        <v>0</v>
      </c>
      <c r="C5002" s="9"/>
      <c r="D5002" s="9">
        <f t="shared" si="78"/>
        <v>0</v>
      </c>
      <c r="E5002" s="11"/>
      <c r="F5002" s="9" t="s">
        <v>7</v>
      </c>
    </row>
    <row r="5003" s="1" customFormat="1" customHeight="1" spans="1:6">
      <c r="A5003" s="9" t="str">
        <f>"10530116721"</f>
        <v>10530116721</v>
      </c>
      <c r="B5003" s="10">
        <v>0</v>
      </c>
      <c r="C5003" s="9"/>
      <c r="D5003" s="9">
        <f t="shared" si="78"/>
        <v>0</v>
      </c>
      <c r="E5003" s="11"/>
      <c r="F5003" s="9" t="s">
        <v>7</v>
      </c>
    </row>
    <row r="5004" s="1" customFormat="1" customHeight="1" spans="1:6">
      <c r="A5004" s="9" t="str">
        <f>"10440116722"</f>
        <v>10440116722</v>
      </c>
      <c r="B5004" s="10">
        <v>0</v>
      </c>
      <c r="C5004" s="9"/>
      <c r="D5004" s="9">
        <f t="shared" si="78"/>
        <v>0</v>
      </c>
      <c r="E5004" s="11"/>
      <c r="F5004" s="9" t="s">
        <v>7</v>
      </c>
    </row>
    <row r="5005" s="1" customFormat="1" customHeight="1" spans="1:6">
      <c r="A5005" s="9" t="str">
        <f>"10060116723"</f>
        <v>10060116723</v>
      </c>
      <c r="B5005" s="10">
        <v>37.97</v>
      </c>
      <c r="C5005" s="9"/>
      <c r="D5005" s="9">
        <f t="shared" si="78"/>
        <v>37.97</v>
      </c>
      <c r="E5005" s="11"/>
      <c r="F5005" s="9"/>
    </row>
    <row r="5006" s="1" customFormat="1" customHeight="1" spans="1:6">
      <c r="A5006" s="9" t="str">
        <f>"10340116724"</f>
        <v>10340116724</v>
      </c>
      <c r="B5006" s="10">
        <v>43.3</v>
      </c>
      <c r="C5006" s="9"/>
      <c r="D5006" s="9">
        <f t="shared" si="78"/>
        <v>43.3</v>
      </c>
      <c r="E5006" s="11"/>
      <c r="F5006" s="9"/>
    </row>
    <row r="5007" s="1" customFormat="1" customHeight="1" spans="1:6">
      <c r="A5007" s="9" t="str">
        <f>"10360116725"</f>
        <v>10360116725</v>
      </c>
      <c r="B5007" s="10">
        <v>25.14</v>
      </c>
      <c r="C5007" s="9">
        <v>10</v>
      </c>
      <c r="D5007" s="9">
        <f t="shared" si="78"/>
        <v>35.14</v>
      </c>
      <c r="E5007" s="12" t="s">
        <v>8</v>
      </c>
      <c r="F5007" s="9"/>
    </row>
    <row r="5008" s="1" customFormat="1" customHeight="1" spans="1:6">
      <c r="A5008" s="9" t="str">
        <f>"10240116726"</f>
        <v>10240116726</v>
      </c>
      <c r="B5008" s="10">
        <v>36.98</v>
      </c>
      <c r="C5008" s="9"/>
      <c r="D5008" s="9">
        <f t="shared" si="78"/>
        <v>36.98</v>
      </c>
      <c r="E5008" s="11"/>
      <c r="F5008" s="9"/>
    </row>
    <row r="5009" s="1" customFormat="1" customHeight="1" spans="1:6">
      <c r="A5009" s="9" t="str">
        <f>"10110116727"</f>
        <v>10110116727</v>
      </c>
      <c r="B5009" s="10">
        <v>35.74</v>
      </c>
      <c r="C5009" s="9"/>
      <c r="D5009" s="9">
        <f t="shared" si="78"/>
        <v>35.74</v>
      </c>
      <c r="E5009" s="11"/>
      <c r="F5009" s="9"/>
    </row>
    <row r="5010" s="1" customFormat="1" customHeight="1" spans="1:6">
      <c r="A5010" s="9" t="str">
        <f>"10520116728"</f>
        <v>10520116728</v>
      </c>
      <c r="B5010" s="10">
        <v>42.57</v>
      </c>
      <c r="C5010" s="9"/>
      <c r="D5010" s="9">
        <f t="shared" si="78"/>
        <v>42.57</v>
      </c>
      <c r="E5010" s="11"/>
      <c r="F5010" s="9"/>
    </row>
    <row r="5011" s="1" customFormat="1" customHeight="1" spans="1:6">
      <c r="A5011" s="9" t="str">
        <f>"10120116729"</f>
        <v>10120116729</v>
      </c>
      <c r="B5011" s="10">
        <v>0</v>
      </c>
      <c r="C5011" s="9"/>
      <c r="D5011" s="9">
        <f t="shared" si="78"/>
        <v>0</v>
      </c>
      <c r="E5011" s="11"/>
      <c r="F5011" s="9" t="s">
        <v>7</v>
      </c>
    </row>
    <row r="5012" s="1" customFormat="1" customHeight="1" spans="1:6">
      <c r="A5012" s="9" t="str">
        <f>"10360116730"</f>
        <v>10360116730</v>
      </c>
      <c r="B5012" s="10">
        <v>47.03</v>
      </c>
      <c r="C5012" s="9"/>
      <c r="D5012" s="9">
        <f t="shared" si="78"/>
        <v>47.03</v>
      </c>
      <c r="E5012" s="11"/>
      <c r="F5012" s="9"/>
    </row>
    <row r="5013" s="1" customFormat="1" customHeight="1" spans="1:6">
      <c r="A5013" s="9" t="str">
        <f>"10510116801"</f>
        <v>10510116801</v>
      </c>
      <c r="B5013" s="10">
        <v>45.25</v>
      </c>
      <c r="C5013" s="9"/>
      <c r="D5013" s="9">
        <f t="shared" si="78"/>
        <v>45.25</v>
      </c>
      <c r="E5013" s="11"/>
      <c r="F5013" s="9"/>
    </row>
    <row r="5014" s="1" customFormat="1" customHeight="1" spans="1:6">
      <c r="A5014" s="9" t="str">
        <f>"10120116802"</f>
        <v>10120116802</v>
      </c>
      <c r="B5014" s="10">
        <v>38.81</v>
      </c>
      <c r="C5014" s="9"/>
      <c r="D5014" s="9">
        <f t="shared" si="78"/>
        <v>38.81</v>
      </c>
      <c r="E5014" s="11"/>
      <c r="F5014" s="9"/>
    </row>
    <row r="5015" s="1" customFormat="1" customHeight="1" spans="1:6">
      <c r="A5015" s="9" t="str">
        <f>"10180116803"</f>
        <v>10180116803</v>
      </c>
      <c r="B5015" s="10">
        <v>39.9</v>
      </c>
      <c r="C5015" s="9"/>
      <c r="D5015" s="9">
        <f t="shared" si="78"/>
        <v>39.9</v>
      </c>
      <c r="E5015" s="11"/>
      <c r="F5015" s="9"/>
    </row>
    <row r="5016" s="1" customFormat="1" customHeight="1" spans="1:6">
      <c r="A5016" s="9" t="str">
        <f>"10060116804"</f>
        <v>10060116804</v>
      </c>
      <c r="B5016" s="10">
        <v>28.65</v>
      </c>
      <c r="C5016" s="9"/>
      <c r="D5016" s="9">
        <f t="shared" si="78"/>
        <v>28.65</v>
      </c>
      <c r="E5016" s="11"/>
      <c r="F5016" s="9"/>
    </row>
    <row r="5017" s="1" customFormat="1" customHeight="1" spans="1:6">
      <c r="A5017" s="9" t="str">
        <f>"10210116805"</f>
        <v>10210116805</v>
      </c>
      <c r="B5017" s="10">
        <v>0</v>
      </c>
      <c r="C5017" s="9"/>
      <c r="D5017" s="9">
        <f t="shared" si="78"/>
        <v>0</v>
      </c>
      <c r="E5017" s="11"/>
      <c r="F5017" s="9" t="s">
        <v>7</v>
      </c>
    </row>
    <row r="5018" s="1" customFormat="1" customHeight="1" spans="1:6">
      <c r="A5018" s="9" t="str">
        <f>"10360116806"</f>
        <v>10360116806</v>
      </c>
      <c r="B5018" s="10">
        <v>36.38</v>
      </c>
      <c r="C5018" s="9"/>
      <c r="D5018" s="9">
        <f t="shared" si="78"/>
        <v>36.38</v>
      </c>
      <c r="E5018" s="11"/>
      <c r="F5018" s="9"/>
    </row>
    <row r="5019" s="1" customFormat="1" customHeight="1" spans="1:6">
      <c r="A5019" s="9" t="str">
        <f>"10010116807"</f>
        <v>10010116807</v>
      </c>
      <c r="B5019" s="10">
        <v>33.16</v>
      </c>
      <c r="C5019" s="9"/>
      <c r="D5019" s="9">
        <f t="shared" si="78"/>
        <v>33.16</v>
      </c>
      <c r="E5019" s="11"/>
      <c r="F5019" s="9"/>
    </row>
    <row r="5020" s="1" customFormat="1" customHeight="1" spans="1:6">
      <c r="A5020" s="9" t="str">
        <f>"10240116808"</f>
        <v>10240116808</v>
      </c>
      <c r="B5020" s="10">
        <v>38.66</v>
      </c>
      <c r="C5020" s="9"/>
      <c r="D5020" s="9">
        <f t="shared" si="78"/>
        <v>38.66</v>
      </c>
      <c r="E5020" s="11"/>
      <c r="F5020" s="9"/>
    </row>
    <row r="5021" s="1" customFormat="1" customHeight="1" spans="1:6">
      <c r="A5021" s="9" t="str">
        <f>"10360116809"</f>
        <v>10360116809</v>
      </c>
      <c r="B5021" s="10">
        <v>44.11</v>
      </c>
      <c r="C5021" s="9"/>
      <c r="D5021" s="9">
        <f t="shared" si="78"/>
        <v>44.11</v>
      </c>
      <c r="E5021" s="11"/>
      <c r="F5021" s="9"/>
    </row>
    <row r="5022" s="1" customFormat="1" customHeight="1" spans="1:6">
      <c r="A5022" s="9" t="str">
        <f>"10360116810"</f>
        <v>10360116810</v>
      </c>
      <c r="B5022" s="10">
        <v>0</v>
      </c>
      <c r="C5022" s="9"/>
      <c r="D5022" s="9">
        <f t="shared" si="78"/>
        <v>0</v>
      </c>
      <c r="E5022" s="11"/>
      <c r="F5022" s="9" t="s">
        <v>7</v>
      </c>
    </row>
    <row r="5023" s="1" customFormat="1" customHeight="1" spans="1:6">
      <c r="A5023" s="9" t="str">
        <f>"10330116811"</f>
        <v>10330116811</v>
      </c>
      <c r="B5023" s="10">
        <v>44.58</v>
      </c>
      <c r="C5023" s="9"/>
      <c r="D5023" s="9">
        <f t="shared" si="78"/>
        <v>44.58</v>
      </c>
      <c r="E5023" s="11"/>
      <c r="F5023" s="9"/>
    </row>
    <row r="5024" s="1" customFormat="1" customHeight="1" spans="1:6">
      <c r="A5024" s="9" t="str">
        <f>"10010116812"</f>
        <v>10010116812</v>
      </c>
      <c r="B5024" s="10">
        <v>35.65</v>
      </c>
      <c r="C5024" s="9"/>
      <c r="D5024" s="9">
        <f t="shared" si="78"/>
        <v>35.65</v>
      </c>
      <c r="E5024" s="11"/>
      <c r="F5024" s="9"/>
    </row>
    <row r="5025" s="1" customFormat="1" customHeight="1" spans="1:6">
      <c r="A5025" s="9" t="str">
        <f>"10440116813"</f>
        <v>10440116813</v>
      </c>
      <c r="B5025" s="10">
        <v>0</v>
      </c>
      <c r="C5025" s="9"/>
      <c r="D5025" s="9">
        <f t="shared" si="78"/>
        <v>0</v>
      </c>
      <c r="E5025" s="11"/>
      <c r="F5025" s="9" t="s">
        <v>7</v>
      </c>
    </row>
    <row r="5026" s="1" customFormat="1" customHeight="1" spans="1:6">
      <c r="A5026" s="9" t="str">
        <f>"10430116814"</f>
        <v>10430116814</v>
      </c>
      <c r="B5026" s="10">
        <v>33.45</v>
      </c>
      <c r="C5026" s="9"/>
      <c r="D5026" s="9">
        <f t="shared" si="78"/>
        <v>33.45</v>
      </c>
      <c r="E5026" s="11"/>
      <c r="F5026" s="9"/>
    </row>
    <row r="5027" s="1" customFormat="1" customHeight="1" spans="1:6">
      <c r="A5027" s="9" t="str">
        <f>"10530116815"</f>
        <v>10530116815</v>
      </c>
      <c r="B5027" s="10">
        <v>37.22</v>
      </c>
      <c r="C5027" s="9"/>
      <c r="D5027" s="9">
        <f t="shared" si="78"/>
        <v>37.22</v>
      </c>
      <c r="E5027" s="11"/>
      <c r="F5027" s="9"/>
    </row>
    <row r="5028" s="1" customFormat="1" customHeight="1" spans="1:6">
      <c r="A5028" s="9" t="str">
        <f>"10130116816"</f>
        <v>10130116816</v>
      </c>
      <c r="B5028" s="10">
        <v>0</v>
      </c>
      <c r="C5028" s="9"/>
      <c r="D5028" s="9">
        <f t="shared" si="78"/>
        <v>0</v>
      </c>
      <c r="E5028" s="11"/>
      <c r="F5028" s="9" t="s">
        <v>7</v>
      </c>
    </row>
    <row r="5029" s="1" customFormat="1" customHeight="1" spans="1:6">
      <c r="A5029" s="9" t="str">
        <f>"10040116817"</f>
        <v>10040116817</v>
      </c>
      <c r="B5029" s="10">
        <v>33.51</v>
      </c>
      <c r="C5029" s="9"/>
      <c r="D5029" s="9">
        <f t="shared" si="78"/>
        <v>33.51</v>
      </c>
      <c r="E5029" s="11"/>
      <c r="F5029" s="9"/>
    </row>
    <row r="5030" s="1" customFormat="1" customHeight="1" spans="1:6">
      <c r="A5030" s="9" t="str">
        <f>"10450116818"</f>
        <v>10450116818</v>
      </c>
      <c r="B5030" s="10">
        <v>38.53</v>
      </c>
      <c r="C5030" s="9"/>
      <c r="D5030" s="9">
        <f t="shared" si="78"/>
        <v>38.53</v>
      </c>
      <c r="E5030" s="11"/>
      <c r="F5030" s="9"/>
    </row>
    <row r="5031" s="1" customFormat="1" customHeight="1" spans="1:6">
      <c r="A5031" s="9" t="str">
        <f>"10110116819"</f>
        <v>10110116819</v>
      </c>
      <c r="B5031" s="10">
        <v>0</v>
      </c>
      <c r="C5031" s="9"/>
      <c r="D5031" s="9">
        <f t="shared" si="78"/>
        <v>0</v>
      </c>
      <c r="E5031" s="11"/>
      <c r="F5031" s="9" t="s">
        <v>7</v>
      </c>
    </row>
    <row r="5032" s="1" customFormat="1" customHeight="1" spans="1:6">
      <c r="A5032" s="9" t="str">
        <f>"10020116820"</f>
        <v>10020116820</v>
      </c>
      <c r="B5032" s="10">
        <v>0</v>
      </c>
      <c r="C5032" s="9"/>
      <c r="D5032" s="9">
        <f t="shared" si="78"/>
        <v>0</v>
      </c>
      <c r="E5032" s="11"/>
      <c r="F5032" s="9" t="s">
        <v>7</v>
      </c>
    </row>
    <row r="5033" s="1" customFormat="1" customHeight="1" spans="1:6">
      <c r="A5033" s="9" t="str">
        <f>"10530116821"</f>
        <v>10530116821</v>
      </c>
      <c r="B5033" s="10">
        <v>32.89</v>
      </c>
      <c r="C5033" s="9"/>
      <c r="D5033" s="9">
        <f t="shared" si="78"/>
        <v>32.89</v>
      </c>
      <c r="E5033" s="11"/>
      <c r="F5033" s="9"/>
    </row>
    <row r="5034" s="1" customFormat="1" customHeight="1" spans="1:6">
      <c r="A5034" s="9" t="str">
        <f>"10300116822"</f>
        <v>10300116822</v>
      </c>
      <c r="B5034" s="10">
        <v>30.48</v>
      </c>
      <c r="C5034" s="9"/>
      <c r="D5034" s="9">
        <f t="shared" si="78"/>
        <v>30.48</v>
      </c>
      <c r="E5034" s="11"/>
      <c r="F5034" s="9"/>
    </row>
    <row r="5035" s="1" customFormat="1" customHeight="1" spans="1:6">
      <c r="A5035" s="9" t="str">
        <f>"10070116823"</f>
        <v>10070116823</v>
      </c>
      <c r="B5035" s="10">
        <v>48.27</v>
      </c>
      <c r="C5035" s="9"/>
      <c r="D5035" s="9">
        <f t="shared" si="78"/>
        <v>48.27</v>
      </c>
      <c r="E5035" s="11"/>
      <c r="F5035" s="9"/>
    </row>
    <row r="5036" s="1" customFormat="1" customHeight="1" spans="1:6">
      <c r="A5036" s="9" t="str">
        <f>"10360116824"</f>
        <v>10360116824</v>
      </c>
      <c r="B5036" s="10">
        <v>0</v>
      </c>
      <c r="C5036" s="9"/>
      <c r="D5036" s="9">
        <f t="shared" si="78"/>
        <v>0</v>
      </c>
      <c r="E5036" s="11"/>
      <c r="F5036" s="9" t="s">
        <v>7</v>
      </c>
    </row>
    <row r="5037" s="1" customFormat="1" customHeight="1" spans="1:6">
      <c r="A5037" s="9" t="str">
        <f>"10360116825"</f>
        <v>10360116825</v>
      </c>
      <c r="B5037" s="10">
        <v>39.81</v>
      </c>
      <c r="C5037" s="9"/>
      <c r="D5037" s="9">
        <f t="shared" si="78"/>
        <v>39.81</v>
      </c>
      <c r="E5037" s="11"/>
      <c r="F5037" s="9"/>
    </row>
    <row r="5038" s="1" customFormat="1" customHeight="1" spans="1:6">
      <c r="A5038" s="9" t="str">
        <f>"10230116826"</f>
        <v>10230116826</v>
      </c>
      <c r="B5038" s="10">
        <v>44.25</v>
      </c>
      <c r="C5038" s="9"/>
      <c r="D5038" s="9">
        <f t="shared" si="78"/>
        <v>44.25</v>
      </c>
      <c r="E5038" s="11"/>
      <c r="F5038" s="9"/>
    </row>
    <row r="5039" s="1" customFormat="1" customHeight="1" spans="1:6">
      <c r="A5039" s="9" t="str">
        <f>"10330116827"</f>
        <v>10330116827</v>
      </c>
      <c r="B5039" s="10">
        <v>37.46</v>
      </c>
      <c r="C5039" s="9"/>
      <c r="D5039" s="9">
        <f t="shared" si="78"/>
        <v>37.46</v>
      </c>
      <c r="E5039" s="11"/>
      <c r="F5039" s="9"/>
    </row>
    <row r="5040" s="1" customFormat="1" customHeight="1" spans="1:6">
      <c r="A5040" s="9" t="str">
        <f>"10360116828"</f>
        <v>10360116828</v>
      </c>
      <c r="B5040" s="10">
        <v>0</v>
      </c>
      <c r="C5040" s="9"/>
      <c r="D5040" s="9">
        <f t="shared" si="78"/>
        <v>0</v>
      </c>
      <c r="E5040" s="11"/>
      <c r="F5040" s="9" t="s">
        <v>7</v>
      </c>
    </row>
    <row r="5041" s="1" customFormat="1" customHeight="1" spans="1:6">
      <c r="A5041" s="9" t="str">
        <f>"10360116829"</f>
        <v>10360116829</v>
      </c>
      <c r="B5041" s="10">
        <v>0</v>
      </c>
      <c r="C5041" s="9"/>
      <c r="D5041" s="9">
        <f t="shared" si="78"/>
        <v>0</v>
      </c>
      <c r="E5041" s="11"/>
      <c r="F5041" s="9" t="s">
        <v>7</v>
      </c>
    </row>
    <row r="5042" s="1" customFormat="1" customHeight="1" spans="1:6">
      <c r="A5042" s="9" t="str">
        <f>"10240116830"</f>
        <v>10240116830</v>
      </c>
      <c r="B5042" s="10">
        <v>0</v>
      </c>
      <c r="C5042" s="9"/>
      <c r="D5042" s="9">
        <f t="shared" si="78"/>
        <v>0</v>
      </c>
      <c r="E5042" s="11"/>
      <c r="F5042" s="9" t="s">
        <v>7</v>
      </c>
    </row>
    <row r="5043" s="1" customFormat="1" customHeight="1" spans="1:6">
      <c r="A5043" s="9" t="str">
        <f>"10020116901"</f>
        <v>10020116901</v>
      </c>
      <c r="B5043" s="10">
        <v>0</v>
      </c>
      <c r="C5043" s="9"/>
      <c r="D5043" s="9">
        <f t="shared" si="78"/>
        <v>0</v>
      </c>
      <c r="E5043" s="11"/>
      <c r="F5043" s="9" t="s">
        <v>7</v>
      </c>
    </row>
    <row r="5044" s="1" customFormat="1" customHeight="1" spans="1:6">
      <c r="A5044" s="9" t="str">
        <f>"10360116902"</f>
        <v>10360116902</v>
      </c>
      <c r="B5044" s="10">
        <v>40.05</v>
      </c>
      <c r="C5044" s="9"/>
      <c r="D5044" s="9">
        <f t="shared" si="78"/>
        <v>40.05</v>
      </c>
      <c r="E5044" s="11"/>
      <c r="F5044" s="9"/>
    </row>
    <row r="5045" s="1" customFormat="1" customHeight="1" spans="1:6">
      <c r="A5045" s="9" t="str">
        <f>"10280116903"</f>
        <v>10280116903</v>
      </c>
      <c r="B5045" s="10">
        <v>35.59</v>
      </c>
      <c r="C5045" s="9"/>
      <c r="D5045" s="9">
        <f t="shared" si="78"/>
        <v>35.59</v>
      </c>
      <c r="E5045" s="11"/>
      <c r="F5045" s="9"/>
    </row>
    <row r="5046" s="1" customFormat="1" customHeight="1" spans="1:6">
      <c r="A5046" s="9" t="str">
        <f>"10110116904"</f>
        <v>10110116904</v>
      </c>
      <c r="B5046" s="10">
        <v>32.31</v>
      </c>
      <c r="C5046" s="9"/>
      <c r="D5046" s="9">
        <f t="shared" si="78"/>
        <v>32.31</v>
      </c>
      <c r="E5046" s="11"/>
      <c r="F5046" s="9"/>
    </row>
    <row r="5047" s="1" customFormat="1" customHeight="1" spans="1:6">
      <c r="A5047" s="9" t="str">
        <f>"10190116905"</f>
        <v>10190116905</v>
      </c>
      <c r="B5047" s="10">
        <v>0</v>
      </c>
      <c r="C5047" s="9"/>
      <c r="D5047" s="9">
        <f t="shared" si="78"/>
        <v>0</v>
      </c>
      <c r="E5047" s="11"/>
      <c r="F5047" s="9" t="s">
        <v>7</v>
      </c>
    </row>
    <row r="5048" s="1" customFormat="1" customHeight="1" spans="1:6">
      <c r="A5048" s="9" t="str">
        <f>"10090116906"</f>
        <v>10090116906</v>
      </c>
      <c r="B5048" s="10">
        <v>0</v>
      </c>
      <c r="C5048" s="9"/>
      <c r="D5048" s="9">
        <f t="shared" si="78"/>
        <v>0</v>
      </c>
      <c r="E5048" s="11"/>
      <c r="F5048" s="9" t="s">
        <v>7</v>
      </c>
    </row>
    <row r="5049" s="1" customFormat="1" customHeight="1" spans="1:6">
      <c r="A5049" s="9" t="str">
        <f>"10100116907"</f>
        <v>10100116907</v>
      </c>
      <c r="B5049" s="10">
        <v>0</v>
      </c>
      <c r="C5049" s="9"/>
      <c r="D5049" s="9">
        <f t="shared" si="78"/>
        <v>0</v>
      </c>
      <c r="E5049" s="11"/>
      <c r="F5049" s="9" t="s">
        <v>7</v>
      </c>
    </row>
    <row r="5050" s="1" customFormat="1" customHeight="1" spans="1:6">
      <c r="A5050" s="9" t="str">
        <f>"10210116908"</f>
        <v>10210116908</v>
      </c>
      <c r="B5050" s="10">
        <v>30.5</v>
      </c>
      <c r="C5050" s="9"/>
      <c r="D5050" s="9">
        <f t="shared" si="78"/>
        <v>30.5</v>
      </c>
      <c r="E5050" s="11"/>
      <c r="F5050" s="9"/>
    </row>
    <row r="5051" s="1" customFormat="1" customHeight="1" spans="1:6">
      <c r="A5051" s="9" t="str">
        <f>"10130116909"</f>
        <v>10130116909</v>
      </c>
      <c r="B5051" s="10">
        <v>0</v>
      </c>
      <c r="C5051" s="9"/>
      <c r="D5051" s="9">
        <f t="shared" si="78"/>
        <v>0</v>
      </c>
      <c r="E5051" s="11"/>
      <c r="F5051" s="9" t="s">
        <v>7</v>
      </c>
    </row>
    <row r="5052" s="1" customFormat="1" customHeight="1" spans="1:6">
      <c r="A5052" s="9" t="str">
        <f>"10210116910"</f>
        <v>10210116910</v>
      </c>
      <c r="B5052" s="10">
        <v>0</v>
      </c>
      <c r="C5052" s="9"/>
      <c r="D5052" s="9">
        <f t="shared" si="78"/>
        <v>0</v>
      </c>
      <c r="E5052" s="11"/>
      <c r="F5052" s="9" t="s">
        <v>7</v>
      </c>
    </row>
    <row r="5053" s="1" customFormat="1" customHeight="1" spans="1:6">
      <c r="A5053" s="9" t="str">
        <f>"10210116911"</f>
        <v>10210116911</v>
      </c>
      <c r="B5053" s="10">
        <v>42.96</v>
      </c>
      <c r="C5053" s="9"/>
      <c r="D5053" s="9">
        <f t="shared" si="78"/>
        <v>42.96</v>
      </c>
      <c r="E5053" s="11"/>
      <c r="F5053" s="9"/>
    </row>
    <row r="5054" s="1" customFormat="1" customHeight="1" spans="1:6">
      <c r="A5054" s="9" t="str">
        <f>"10060116912"</f>
        <v>10060116912</v>
      </c>
      <c r="B5054" s="10">
        <v>33.79</v>
      </c>
      <c r="C5054" s="9"/>
      <c r="D5054" s="9">
        <f t="shared" si="78"/>
        <v>33.79</v>
      </c>
      <c r="E5054" s="11"/>
      <c r="F5054" s="9"/>
    </row>
    <row r="5055" s="1" customFormat="1" customHeight="1" spans="1:6">
      <c r="A5055" s="9" t="str">
        <f>"10210116913"</f>
        <v>10210116913</v>
      </c>
      <c r="B5055" s="10">
        <v>0</v>
      </c>
      <c r="C5055" s="9"/>
      <c r="D5055" s="9">
        <f t="shared" si="78"/>
        <v>0</v>
      </c>
      <c r="E5055" s="11"/>
      <c r="F5055" s="9" t="s">
        <v>7</v>
      </c>
    </row>
    <row r="5056" s="1" customFormat="1" customHeight="1" spans="1:6">
      <c r="A5056" s="9" t="str">
        <f>"10520116914"</f>
        <v>10520116914</v>
      </c>
      <c r="B5056" s="10">
        <v>0</v>
      </c>
      <c r="C5056" s="9"/>
      <c r="D5056" s="9">
        <f t="shared" si="78"/>
        <v>0</v>
      </c>
      <c r="E5056" s="11"/>
      <c r="F5056" s="9" t="s">
        <v>7</v>
      </c>
    </row>
    <row r="5057" s="1" customFormat="1" customHeight="1" spans="1:6">
      <c r="A5057" s="9" t="str">
        <f>"10180116915"</f>
        <v>10180116915</v>
      </c>
      <c r="B5057" s="10">
        <v>35.03</v>
      </c>
      <c r="C5057" s="9"/>
      <c r="D5057" s="9">
        <f t="shared" si="78"/>
        <v>35.03</v>
      </c>
      <c r="E5057" s="11"/>
      <c r="F5057" s="9"/>
    </row>
    <row r="5058" s="1" customFormat="1" customHeight="1" spans="1:6">
      <c r="A5058" s="9" t="str">
        <f>"10510116916"</f>
        <v>10510116916</v>
      </c>
      <c r="B5058" s="10">
        <v>0</v>
      </c>
      <c r="C5058" s="9"/>
      <c r="D5058" s="9">
        <f t="shared" si="78"/>
        <v>0</v>
      </c>
      <c r="E5058" s="11"/>
      <c r="F5058" s="9" t="s">
        <v>7</v>
      </c>
    </row>
    <row r="5059" s="1" customFormat="1" customHeight="1" spans="1:6">
      <c r="A5059" s="9" t="str">
        <f>"10240116917"</f>
        <v>10240116917</v>
      </c>
      <c r="B5059" s="10">
        <v>40.28</v>
      </c>
      <c r="C5059" s="9"/>
      <c r="D5059" s="9">
        <f t="shared" ref="D5059:D5122" si="79">SUM(B5059:C5059)</f>
        <v>40.28</v>
      </c>
      <c r="E5059" s="11"/>
      <c r="F5059" s="9"/>
    </row>
    <row r="5060" s="1" customFormat="1" customHeight="1" spans="1:6">
      <c r="A5060" s="9" t="str">
        <f>"10410116918"</f>
        <v>10410116918</v>
      </c>
      <c r="B5060" s="10">
        <v>40.76</v>
      </c>
      <c r="C5060" s="9"/>
      <c r="D5060" s="9">
        <f t="shared" si="79"/>
        <v>40.76</v>
      </c>
      <c r="E5060" s="11"/>
      <c r="F5060" s="9"/>
    </row>
    <row r="5061" s="1" customFormat="1" customHeight="1" spans="1:6">
      <c r="A5061" s="9" t="str">
        <f>"10110116919"</f>
        <v>10110116919</v>
      </c>
      <c r="B5061" s="10">
        <v>0</v>
      </c>
      <c r="C5061" s="9"/>
      <c r="D5061" s="9">
        <f t="shared" si="79"/>
        <v>0</v>
      </c>
      <c r="E5061" s="11"/>
      <c r="F5061" s="9" t="s">
        <v>7</v>
      </c>
    </row>
    <row r="5062" s="1" customFormat="1" customHeight="1" spans="1:6">
      <c r="A5062" s="9" t="str">
        <f>"10510116920"</f>
        <v>10510116920</v>
      </c>
      <c r="B5062" s="10">
        <v>37.98</v>
      </c>
      <c r="C5062" s="9"/>
      <c r="D5062" s="9">
        <f t="shared" si="79"/>
        <v>37.98</v>
      </c>
      <c r="E5062" s="11"/>
      <c r="F5062" s="9"/>
    </row>
    <row r="5063" s="1" customFormat="1" customHeight="1" spans="1:6">
      <c r="A5063" s="9" t="str">
        <f>"10350116921"</f>
        <v>10350116921</v>
      </c>
      <c r="B5063" s="10">
        <v>0</v>
      </c>
      <c r="C5063" s="9"/>
      <c r="D5063" s="9">
        <f t="shared" si="79"/>
        <v>0</v>
      </c>
      <c r="E5063" s="11"/>
      <c r="F5063" s="9" t="s">
        <v>7</v>
      </c>
    </row>
    <row r="5064" s="1" customFormat="1" customHeight="1" spans="1:6">
      <c r="A5064" s="9" t="str">
        <f>"10360116922"</f>
        <v>10360116922</v>
      </c>
      <c r="B5064" s="10">
        <v>29.95</v>
      </c>
      <c r="C5064" s="9"/>
      <c r="D5064" s="9">
        <f t="shared" si="79"/>
        <v>29.95</v>
      </c>
      <c r="E5064" s="11"/>
      <c r="F5064" s="9"/>
    </row>
    <row r="5065" s="1" customFormat="1" customHeight="1" spans="1:6">
      <c r="A5065" s="9" t="str">
        <f>"10260116923"</f>
        <v>10260116923</v>
      </c>
      <c r="B5065" s="10">
        <v>34.19</v>
      </c>
      <c r="C5065" s="9"/>
      <c r="D5065" s="9">
        <f t="shared" si="79"/>
        <v>34.19</v>
      </c>
      <c r="E5065" s="11"/>
      <c r="F5065" s="9"/>
    </row>
    <row r="5066" s="1" customFormat="1" customHeight="1" spans="1:6">
      <c r="A5066" s="9" t="str">
        <f>"10160116924"</f>
        <v>10160116924</v>
      </c>
      <c r="B5066" s="10">
        <v>0</v>
      </c>
      <c r="C5066" s="9"/>
      <c r="D5066" s="9">
        <f t="shared" si="79"/>
        <v>0</v>
      </c>
      <c r="E5066" s="11"/>
      <c r="F5066" s="9" t="s">
        <v>7</v>
      </c>
    </row>
    <row r="5067" s="1" customFormat="1" customHeight="1" spans="1:6">
      <c r="A5067" s="9" t="str">
        <f>"10270116925"</f>
        <v>10270116925</v>
      </c>
      <c r="B5067" s="10">
        <v>40.3</v>
      </c>
      <c r="C5067" s="9"/>
      <c r="D5067" s="9">
        <f t="shared" si="79"/>
        <v>40.3</v>
      </c>
      <c r="E5067" s="11"/>
      <c r="F5067" s="9"/>
    </row>
    <row r="5068" s="1" customFormat="1" customHeight="1" spans="1:6">
      <c r="A5068" s="9" t="str">
        <f>"10360116926"</f>
        <v>10360116926</v>
      </c>
      <c r="B5068" s="10">
        <v>0</v>
      </c>
      <c r="C5068" s="9"/>
      <c r="D5068" s="9">
        <f t="shared" si="79"/>
        <v>0</v>
      </c>
      <c r="E5068" s="11"/>
      <c r="F5068" s="9" t="s">
        <v>7</v>
      </c>
    </row>
    <row r="5069" s="1" customFormat="1" customHeight="1" spans="1:6">
      <c r="A5069" s="9" t="str">
        <f>"10530116927"</f>
        <v>10530116927</v>
      </c>
      <c r="B5069" s="10">
        <v>30.84</v>
      </c>
      <c r="C5069" s="9"/>
      <c r="D5069" s="9">
        <f t="shared" si="79"/>
        <v>30.84</v>
      </c>
      <c r="E5069" s="11"/>
      <c r="F5069" s="9"/>
    </row>
    <row r="5070" s="1" customFormat="1" customHeight="1" spans="1:6">
      <c r="A5070" s="9" t="str">
        <f>"10130116928"</f>
        <v>10130116928</v>
      </c>
      <c r="B5070" s="10">
        <v>0</v>
      </c>
      <c r="C5070" s="9"/>
      <c r="D5070" s="9">
        <f t="shared" si="79"/>
        <v>0</v>
      </c>
      <c r="E5070" s="11"/>
      <c r="F5070" s="9" t="s">
        <v>7</v>
      </c>
    </row>
    <row r="5071" s="1" customFormat="1" customHeight="1" spans="1:6">
      <c r="A5071" s="9" t="str">
        <f>"10510116929"</f>
        <v>10510116929</v>
      </c>
      <c r="B5071" s="10">
        <v>35.55</v>
      </c>
      <c r="C5071" s="9"/>
      <c r="D5071" s="9">
        <f t="shared" si="79"/>
        <v>35.55</v>
      </c>
      <c r="E5071" s="11"/>
      <c r="F5071" s="9"/>
    </row>
    <row r="5072" s="1" customFormat="1" customHeight="1" spans="1:6">
      <c r="A5072" s="9" t="str">
        <f>"10350116930"</f>
        <v>10350116930</v>
      </c>
      <c r="B5072" s="10">
        <v>43.45</v>
      </c>
      <c r="C5072" s="9"/>
      <c r="D5072" s="9">
        <f t="shared" si="79"/>
        <v>43.45</v>
      </c>
      <c r="E5072" s="11"/>
      <c r="F5072" s="9"/>
    </row>
    <row r="5073" s="1" customFormat="1" customHeight="1" spans="1:6">
      <c r="A5073" s="9" t="str">
        <f>"10150117001"</f>
        <v>10150117001</v>
      </c>
      <c r="B5073" s="10">
        <v>33.57</v>
      </c>
      <c r="C5073" s="9"/>
      <c r="D5073" s="9">
        <f t="shared" si="79"/>
        <v>33.57</v>
      </c>
      <c r="E5073" s="11"/>
      <c r="F5073" s="9"/>
    </row>
    <row r="5074" s="1" customFormat="1" customHeight="1" spans="1:6">
      <c r="A5074" s="9" t="str">
        <f>"10170117002"</f>
        <v>10170117002</v>
      </c>
      <c r="B5074" s="10">
        <v>39.04</v>
      </c>
      <c r="C5074" s="9"/>
      <c r="D5074" s="9">
        <f t="shared" si="79"/>
        <v>39.04</v>
      </c>
      <c r="E5074" s="11"/>
      <c r="F5074" s="9"/>
    </row>
    <row r="5075" s="1" customFormat="1" customHeight="1" spans="1:6">
      <c r="A5075" s="9" t="str">
        <f>"10410117003"</f>
        <v>10410117003</v>
      </c>
      <c r="B5075" s="10">
        <v>43.37</v>
      </c>
      <c r="C5075" s="9"/>
      <c r="D5075" s="9">
        <f t="shared" si="79"/>
        <v>43.37</v>
      </c>
      <c r="E5075" s="11"/>
      <c r="F5075" s="9"/>
    </row>
    <row r="5076" s="1" customFormat="1" customHeight="1" spans="1:6">
      <c r="A5076" s="9" t="str">
        <f>"10280117004"</f>
        <v>10280117004</v>
      </c>
      <c r="B5076" s="10">
        <v>40.06</v>
      </c>
      <c r="C5076" s="9"/>
      <c r="D5076" s="9">
        <f t="shared" si="79"/>
        <v>40.06</v>
      </c>
      <c r="E5076" s="11"/>
      <c r="F5076" s="9"/>
    </row>
    <row r="5077" s="1" customFormat="1" customHeight="1" spans="1:6">
      <c r="A5077" s="9" t="str">
        <f>"10530117005"</f>
        <v>10530117005</v>
      </c>
      <c r="B5077" s="10">
        <v>43.25</v>
      </c>
      <c r="C5077" s="9"/>
      <c r="D5077" s="9">
        <f t="shared" si="79"/>
        <v>43.25</v>
      </c>
      <c r="E5077" s="11"/>
      <c r="F5077" s="9"/>
    </row>
    <row r="5078" s="1" customFormat="1" customHeight="1" spans="1:6">
      <c r="A5078" s="9" t="str">
        <f>"10340117006"</f>
        <v>10340117006</v>
      </c>
      <c r="B5078" s="10">
        <v>44.85</v>
      </c>
      <c r="C5078" s="9"/>
      <c r="D5078" s="9">
        <f t="shared" si="79"/>
        <v>44.85</v>
      </c>
      <c r="E5078" s="11"/>
      <c r="F5078" s="9"/>
    </row>
    <row r="5079" s="1" customFormat="1" customHeight="1" spans="1:6">
      <c r="A5079" s="9" t="str">
        <f>"10330117007"</f>
        <v>10330117007</v>
      </c>
      <c r="B5079" s="10">
        <v>38.81</v>
      </c>
      <c r="C5079" s="9"/>
      <c r="D5079" s="9">
        <f t="shared" si="79"/>
        <v>38.81</v>
      </c>
      <c r="E5079" s="11"/>
      <c r="F5079" s="9"/>
    </row>
    <row r="5080" s="1" customFormat="1" customHeight="1" spans="1:6">
      <c r="A5080" s="9" t="str">
        <f>"10360117008"</f>
        <v>10360117008</v>
      </c>
      <c r="B5080" s="10">
        <v>0</v>
      </c>
      <c r="C5080" s="9"/>
      <c r="D5080" s="9">
        <f t="shared" si="79"/>
        <v>0</v>
      </c>
      <c r="E5080" s="11"/>
      <c r="F5080" s="9" t="s">
        <v>7</v>
      </c>
    </row>
    <row r="5081" s="1" customFormat="1" customHeight="1" spans="1:6">
      <c r="A5081" s="9" t="str">
        <f>"10360117009"</f>
        <v>10360117009</v>
      </c>
      <c r="B5081" s="10">
        <v>43.38</v>
      </c>
      <c r="C5081" s="9"/>
      <c r="D5081" s="9">
        <f t="shared" si="79"/>
        <v>43.38</v>
      </c>
      <c r="E5081" s="11"/>
      <c r="F5081" s="9"/>
    </row>
    <row r="5082" s="1" customFormat="1" customHeight="1" spans="1:6">
      <c r="A5082" s="9" t="str">
        <f>"10080117010"</f>
        <v>10080117010</v>
      </c>
      <c r="B5082" s="10">
        <v>43.7</v>
      </c>
      <c r="C5082" s="9"/>
      <c r="D5082" s="9">
        <f t="shared" si="79"/>
        <v>43.7</v>
      </c>
      <c r="E5082" s="11"/>
      <c r="F5082" s="9"/>
    </row>
    <row r="5083" s="1" customFormat="1" customHeight="1" spans="1:6">
      <c r="A5083" s="9" t="str">
        <f>"10350117011"</f>
        <v>10350117011</v>
      </c>
      <c r="B5083" s="10">
        <v>0</v>
      </c>
      <c r="C5083" s="9"/>
      <c r="D5083" s="9">
        <f t="shared" si="79"/>
        <v>0</v>
      </c>
      <c r="E5083" s="11"/>
      <c r="F5083" s="9" t="s">
        <v>7</v>
      </c>
    </row>
    <row r="5084" s="1" customFormat="1" customHeight="1" spans="1:6">
      <c r="A5084" s="9" t="str">
        <f>"10240117012"</f>
        <v>10240117012</v>
      </c>
      <c r="B5084" s="10">
        <v>0</v>
      </c>
      <c r="C5084" s="9"/>
      <c r="D5084" s="9">
        <f t="shared" si="79"/>
        <v>0</v>
      </c>
      <c r="E5084" s="11"/>
      <c r="F5084" s="9" t="s">
        <v>7</v>
      </c>
    </row>
    <row r="5085" s="1" customFormat="1" customHeight="1" spans="1:6">
      <c r="A5085" s="9" t="str">
        <f>"10360117013"</f>
        <v>10360117013</v>
      </c>
      <c r="B5085" s="10">
        <v>0</v>
      </c>
      <c r="C5085" s="9"/>
      <c r="D5085" s="9">
        <f t="shared" si="79"/>
        <v>0</v>
      </c>
      <c r="E5085" s="11"/>
      <c r="F5085" s="9" t="s">
        <v>7</v>
      </c>
    </row>
    <row r="5086" s="1" customFormat="1" customHeight="1" spans="1:6">
      <c r="A5086" s="9" t="str">
        <f>"10360117014"</f>
        <v>10360117014</v>
      </c>
      <c r="B5086" s="10">
        <v>33.06</v>
      </c>
      <c r="C5086" s="9"/>
      <c r="D5086" s="9">
        <f t="shared" si="79"/>
        <v>33.06</v>
      </c>
      <c r="E5086" s="11"/>
      <c r="F5086" s="9"/>
    </row>
    <row r="5087" s="1" customFormat="1" customHeight="1" spans="1:6">
      <c r="A5087" s="9" t="str">
        <f>"10330117015"</f>
        <v>10330117015</v>
      </c>
      <c r="B5087" s="10">
        <v>40.49</v>
      </c>
      <c r="C5087" s="9"/>
      <c r="D5087" s="9">
        <f t="shared" si="79"/>
        <v>40.49</v>
      </c>
      <c r="E5087" s="11"/>
      <c r="F5087" s="9"/>
    </row>
    <row r="5088" s="1" customFormat="1" customHeight="1" spans="1:6">
      <c r="A5088" s="9" t="str">
        <f>"10210117016"</f>
        <v>10210117016</v>
      </c>
      <c r="B5088" s="10">
        <v>41.28</v>
      </c>
      <c r="C5088" s="9"/>
      <c r="D5088" s="9">
        <f t="shared" si="79"/>
        <v>41.28</v>
      </c>
      <c r="E5088" s="11"/>
      <c r="F5088" s="9"/>
    </row>
    <row r="5089" s="1" customFormat="1" customHeight="1" spans="1:6">
      <c r="A5089" s="9" t="str">
        <f>"10530117017"</f>
        <v>10530117017</v>
      </c>
      <c r="B5089" s="10">
        <v>46.1</v>
      </c>
      <c r="C5089" s="9"/>
      <c r="D5089" s="9">
        <f t="shared" si="79"/>
        <v>46.1</v>
      </c>
      <c r="E5089" s="11"/>
      <c r="F5089" s="9"/>
    </row>
    <row r="5090" s="1" customFormat="1" customHeight="1" spans="1:6">
      <c r="A5090" s="9" t="str">
        <f>"10350117018"</f>
        <v>10350117018</v>
      </c>
      <c r="B5090" s="10">
        <v>41.4</v>
      </c>
      <c r="C5090" s="9"/>
      <c r="D5090" s="9">
        <f t="shared" si="79"/>
        <v>41.4</v>
      </c>
      <c r="E5090" s="11"/>
      <c r="F5090" s="9"/>
    </row>
    <row r="5091" s="1" customFormat="1" customHeight="1" spans="1:6">
      <c r="A5091" s="9" t="str">
        <f>"10290117019"</f>
        <v>10290117019</v>
      </c>
      <c r="B5091" s="10">
        <v>40.92</v>
      </c>
      <c r="C5091" s="9"/>
      <c r="D5091" s="9">
        <f t="shared" si="79"/>
        <v>40.92</v>
      </c>
      <c r="E5091" s="11"/>
      <c r="F5091" s="9"/>
    </row>
    <row r="5092" s="1" customFormat="1" customHeight="1" spans="1:6">
      <c r="A5092" s="9" t="str">
        <f>"10210117020"</f>
        <v>10210117020</v>
      </c>
      <c r="B5092" s="10">
        <v>29.03</v>
      </c>
      <c r="C5092" s="9"/>
      <c r="D5092" s="9">
        <f t="shared" si="79"/>
        <v>29.03</v>
      </c>
      <c r="E5092" s="11"/>
      <c r="F5092" s="9"/>
    </row>
    <row r="5093" s="1" customFormat="1" customHeight="1" spans="1:6">
      <c r="A5093" s="9" t="str">
        <f>"10110117021"</f>
        <v>10110117021</v>
      </c>
      <c r="B5093" s="10">
        <v>36.16</v>
      </c>
      <c r="C5093" s="9"/>
      <c r="D5093" s="9">
        <f t="shared" si="79"/>
        <v>36.16</v>
      </c>
      <c r="E5093" s="11"/>
      <c r="F5093" s="9"/>
    </row>
    <row r="5094" s="1" customFormat="1" customHeight="1" spans="1:6">
      <c r="A5094" s="9" t="str">
        <f>"10330117022"</f>
        <v>10330117022</v>
      </c>
      <c r="B5094" s="10">
        <v>32.14</v>
      </c>
      <c r="C5094" s="9"/>
      <c r="D5094" s="9">
        <f t="shared" si="79"/>
        <v>32.14</v>
      </c>
      <c r="E5094" s="11"/>
      <c r="F5094" s="9"/>
    </row>
    <row r="5095" s="1" customFormat="1" customHeight="1" spans="1:6">
      <c r="A5095" s="9" t="str">
        <f>"10500117023"</f>
        <v>10500117023</v>
      </c>
      <c r="B5095" s="10">
        <v>39.83</v>
      </c>
      <c r="C5095" s="9"/>
      <c r="D5095" s="9">
        <f t="shared" si="79"/>
        <v>39.83</v>
      </c>
      <c r="E5095" s="11"/>
      <c r="F5095" s="9"/>
    </row>
    <row r="5096" s="1" customFormat="1" customHeight="1" spans="1:6">
      <c r="A5096" s="9" t="str">
        <f>"10170117024"</f>
        <v>10170117024</v>
      </c>
      <c r="B5096" s="10">
        <v>0</v>
      </c>
      <c r="C5096" s="9"/>
      <c r="D5096" s="9">
        <f t="shared" si="79"/>
        <v>0</v>
      </c>
      <c r="E5096" s="11"/>
      <c r="F5096" s="9" t="s">
        <v>7</v>
      </c>
    </row>
    <row r="5097" s="1" customFormat="1" customHeight="1" spans="1:6">
      <c r="A5097" s="9" t="str">
        <f>"10100117025"</f>
        <v>10100117025</v>
      </c>
      <c r="B5097" s="10">
        <v>48.96</v>
      </c>
      <c r="C5097" s="9"/>
      <c r="D5097" s="9">
        <f t="shared" si="79"/>
        <v>48.96</v>
      </c>
      <c r="E5097" s="11"/>
      <c r="F5097" s="9"/>
    </row>
    <row r="5098" s="1" customFormat="1" customHeight="1" spans="1:6">
      <c r="A5098" s="9" t="str">
        <f>"10210117026"</f>
        <v>10210117026</v>
      </c>
      <c r="B5098" s="10">
        <v>41.84</v>
      </c>
      <c r="C5098" s="9"/>
      <c r="D5098" s="9">
        <f t="shared" si="79"/>
        <v>41.84</v>
      </c>
      <c r="E5098" s="11"/>
      <c r="F5098" s="9"/>
    </row>
    <row r="5099" s="1" customFormat="1" customHeight="1" spans="1:6">
      <c r="A5099" s="9" t="str">
        <f>"10450117027"</f>
        <v>10450117027</v>
      </c>
      <c r="B5099" s="10">
        <v>0</v>
      </c>
      <c r="C5099" s="9"/>
      <c r="D5099" s="9">
        <f t="shared" si="79"/>
        <v>0</v>
      </c>
      <c r="E5099" s="11"/>
      <c r="F5099" s="9" t="s">
        <v>7</v>
      </c>
    </row>
    <row r="5100" s="1" customFormat="1" customHeight="1" spans="1:6">
      <c r="A5100" s="9" t="str">
        <f>"10500117028"</f>
        <v>10500117028</v>
      </c>
      <c r="B5100" s="10">
        <v>38.62</v>
      </c>
      <c r="C5100" s="9"/>
      <c r="D5100" s="9">
        <f t="shared" si="79"/>
        <v>38.62</v>
      </c>
      <c r="E5100" s="11"/>
      <c r="F5100" s="9"/>
    </row>
    <row r="5101" s="1" customFormat="1" customHeight="1" spans="1:6">
      <c r="A5101" s="9" t="str">
        <f>"10130117029"</f>
        <v>10130117029</v>
      </c>
      <c r="B5101" s="10">
        <v>28.43</v>
      </c>
      <c r="C5101" s="9"/>
      <c r="D5101" s="9">
        <f t="shared" si="79"/>
        <v>28.43</v>
      </c>
      <c r="E5101" s="11"/>
      <c r="F5101" s="9"/>
    </row>
    <row r="5102" s="1" customFormat="1" customHeight="1" spans="1:6">
      <c r="A5102" s="9" t="str">
        <f>"10330117030"</f>
        <v>10330117030</v>
      </c>
      <c r="B5102" s="10">
        <v>35.8</v>
      </c>
      <c r="C5102" s="9"/>
      <c r="D5102" s="9">
        <f t="shared" si="79"/>
        <v>35.8</v>
      </c>
      <c r="E5102" s="11"/>
      <c r="F5102" s="9"/>
    </row>
    <row r="5103" s="1" customFormat="1" customHeight="1" spans="1:6">
      <c r="A5103" s="9" t="str">
        <f>"10360517101"</f>
        <v>10360517101</v>
      </c>
      <c r="B5103" s="10">
        <v>41.91</v>
      </c>
      <c r="C5103" s="9"/>
      <c r="D5103" s="9">
        <f t="shared" si="79"/>
        <v>41.91</v>
      </c>
      <c r="E5103" s="11"/>
      <c r="F5103" s="9"/>
    </row>
    <row r="5104" s="1" customFormat="1" customHeight="1" spans="1:6">
      <c r="A5104" s="9" t="str">
        <f>"10100517102"</f>
        <v>10100517102</v>
      </c>
      <c r="B5104" s="10">
        <v>55.84</v>
      </c>
      <c r="C5104" s="9"/>
      <c r="D5104" s="9">
        <f t="shared" si="79"/>
        <v>55.84</v>
      </c>
      <c r="E5104" s="11"/>
      <c r="F5104" s="9"/>
    </row>
    <row r="5105" s="1" customFormat="1" customHeight="1" spans="1:6">
      <c r="A5105" s="9" t="str">
        <f>"10060517103"</f>
        <v>10060517103</v>
      </c>
      <c r="B5105" s="10">
        <v>49.35</v>
      </c>
      <c r="C5105" s="9"/>
      <c r="D5105" s="9">
        <f t="shared" si="79"/>
        <v>49.35</v>
      </c>
      <c r="E5105" s="11"/>
      <c r="F5105" s="9"/>
    </row>
    <row r="5106" s="1" customFormat="1" customHeight="1" spans="1:6">
      <c r="A5106" s="9" t="str">
        <f>"10170517104"</f>
        <v>10170517104</v>
      </c>
      <c r="B5106" s="10">
        <v>36.31</v>
      </c>
      <c r="C5106" s="9"/>
      <c r="D5106" s="9">
        <f t="shared" si="79"/>
        <v>36.31</v>
      </c>
      <c r="E5106" s="11"/>
      <c r="F5106" s="9"/>
    </row>
    <row r="5107" s="1" customFormat="1" customHeight="1" spans="1:6">
      <c r="A5107" s="9" t="str">
        <f>"10340517105"</f>
        <v>10340517105</v>
      </c>
      <c r="B5107" s="10">
        <v>48.01</v>
      </c>
      <c r="C5107" s="9"/>
      <c r="D5107" s="9">
        <f t="shared" si="79"/>
        <v>48.01</v>
      </c>
      <c r="E5107" s="11"/>
      <c r="F5107" s="9"/>
    </row>
    <row r="5108" s="1" customFormat="1" customHeight="1" spans="1:6">
      <c r="A5108" s="9" t="str">
        <f>"10090517106"</f>
        <v>10090517106</v>
      </c>
      <c r="B5108" s="10">
        <v>0</v>
      </c>
      <c r="C5108" s="9"/>
      <c r="D5108" s="9">
        <f t="shared" si="79"/>
        <v>0</v>
      </c>
      <c r="E5108" s="11"/>
      <c r="F5108" s="9" t="s">
        <v>7</v>
      </c>
    </row>
    <row r="5109" s="1" customFormat="1" customHeight="1" spans="1:6">
      <c r="A5109" s="9" t="str">
        <f>"10110517107"</f>
        <v>10110517107</v>
      </c>
      <c r="B5109" s="10">
        <v>0</v>
      </c>
      <c r="C5109" s="9"/>
      <c r="D5109" s="9">
        <f t="shared" si="79"/>
        <v>0</v>
      </c>
      <c r="E5109" s="11"/>
      <c r="F5109" s="9" t="s">
        <v>7</v>
      </c>
    </row>
    <row r="5110" s="1" customFormat="1" customHeight="1" spans="1:6">
      <c r="A5110" s="9" t="str">
        <f>"10300517108"</f>
        <v>10300517108</v>
      </c>
      <c r="B5110" s="10">
        <v>0</v>
      </c>
      <c r="C5110" s="9"/>
      <c r="D5110" s="9">
        <f t="shared" si="79"/>
        <v>0</v>
      </c>
      <c r="E5110" s="11"/>
      <c r="F5110" s="9" t="s">
        <v>7</v>
      </c>
    </row>
    <row r="5111" s="1" customFormat="1" customHeight="1" spans="1:6">
      <c r="A5111" s="9" t="str">
        <f>"10130517109"</f>
        <v>10130517109</v>
      </c>
      <c r="B5111" s="10">
        <v>41.25</v>
      </c>
      <c r="C5111" s="9"/>
      <c r="D5111" s="9">
        <f t="shared" si="79"/>
        <v>41.25</v>
      </c>
      <c r="E5111" s="11"/>
      <c r="F5111" s="9"/>
    </row>
    <row r="5112" s="1" customFormat="1" customHeight="1" spans="1:6">
      <c r="A5112" s="9" t="str">
        <f>"10330517110"</f>
        <v>10330517110</v>
      </c>
      <c r="B5112" s="10">
        <v>47.69</v>
      </c>
      <c r="C5112" s="9"/>
      <c r="D5112" s="9">
        <f t="shared" si="79"/>
        <v>47.69</v>
      </c>
      <c r="E5112" s="11"/>
      <c r="F5112" s="9"/>
    </row>
    <row r="5113" s="1" customFormat="1" customHeight="1" spans="1:6">
      <c r="A5113" s="9" t="str">
        <f>"10230517111"</f>
        <v>10230517111</v>
      </c>
      <c r="B5113" s="10">
        <v>0</v>
      </c>
      <c r="C5113" s="9"/>
      <c r="D5113" s="9">
        <f t="shared" si="79"/>
        <v>0</v>
      </c>
      <c r="E5113" s="11"/>
      <c r="F5113" s="9" t="s">
        <v>7</v>
      </c>
    </row>
    <row r="5114" s="1" customFormat="1" customHeight="1" spans="1:6">
      <c r="A5114" s="9" t="str">
        <f>"10490517112"</f>
        <v>10490517112</v>
      </c>
      <c r="B5114" s="10">
        <v>44.62</v>
      </c>
      <c r="C5114" s="9"/>
      <c r="D5114" s="9">
        <f t="shared" si="79"/>
        <v>44.62</v>
      </c>
      <c r="E5114" s="11"/>
      <c r="F5114" s="9"/>
    </row>
    <row r="5115" s="1" customFormat="1" customHeight="1" spans="1:6">
      <c r="A5115" s="9" t="str">
        <f>"10330517113"</f>
        <v>10330517113</v>
      </c>
      <c r="B5115" s="10">
        <v>31.96</v>
      </c>
      <c r="C5115" s="9"/>
      <c r="D5115" s="9">
        <f t="shared" si="79"/>
        <v>31.96</v>
      </c>
      <c r="E5115" s="11"/>
      <c r="F5115" s="9"/>
    </row>
    <row r="5116" s="1" customFormat="1" customHeight="1" spans="1:6">
      <c r="A5116" s="9" t="str">
        <f>"20270517114"</f>
        <v>20270517114</v>
      </c>
      <c r="B5116" s="10">
        <v>45.36</v>
      </c>
      <c r="C5116" s="9"/>
      <c r="D5116" s="9">
        <f t="shared" si="79"/>
        <v>45.36</v>
      </c>
      <c r="E5116" s="11"/>
      <c r="F5116" s="9"/>
    </row>
    <row r="5117" s="1" customFormat="1" customHeight="1" spans="1:6">
      <c r="A5117" s="9" t="str">
        <f>"10360517115"</f>
        <v>10360517115</v>
      </c>
      <c r="B5117" s="10">
        <v>44.17</v>
      </c>
      <c r="C5117" s="9"/>
      <c r="D5117" s="9">
        <f t="shared" si="79"/>
        <v>44.17</v>
      </c>
      <c r="E5117" s="11"/>
      <c r="F5117" s="9"/>
    </row>
    <row r="5118" s="1" customFormat="1" customHeight="1" spans="1:6">
      <c r="A5118" s="9" t="str">
        <f>"10430517116"</f>
        <v>10430517116</v>
      </c>
      <c r="B5118" s="10">
        <v>38.9</v>
      </c>
      <c r="C5118" s="9"/>
      <c r="D5118" s="9">
        <f t="shared" si="79"/>
        <v>38.9</v>
      </c>
      <c r="E5118" s="11"/>
      <c r="F5118" s="9"/>
    </row>
    <row r="5119" s="1" customFormat="1" customHeight="1" spans="1:6">
      <c r="A5119" s="9" t="str">
        <f>"10140517117"</f>
        <v>10140517117</v>
      </c>
      <c r="B5119" s="10">
        <v>45.12</v>
      </c>
      <c r="C5119" s="9"/>
      <c r="D5119" s="9">
        <f t="shared" si="79"/>
        <v>45.12</v>
      </c>
      <c r="E5119" s="11"/>
      <c r="F5119" s="9"/>
    </row>
    <row r="5120" s="1" customFormat="1" customHeight="1" spans="1:6">
      <c r="A5120" s="9" t="str">
        <f>"10510517118"</f>
        <v>10510517118</v>
      </c>
      <c r="B5120" s="10">
        <v>39.49</v>
      </c>
      <c r="C5120" s="9"/>
      <c r="D5120" s="9">
        <f t="shared" si="79"/>
        <v>39.49</v>
      </c>
      <c r="E5120" s="11"/>
      <c r="F5120" s="9"/>
    </row>
    <row r="5121" s="1" customFormat="1" customHeight="1" spans="1:6">
      <c r="A5121" s="9" t="str">
        <f>"10380517119"</f>
        <v>10380517119</v>
      </c>
      <c r="B5121" s="10">
        <v>48.67</v>
      </c>
      <c r="C5121" s="9"/>
      <c r="D5121" s="9">
        <f t="shared" si="79"/>
        <v>48.67</v>
      </c>
      <c r="E5121" s="11"/>
      <c r="F5121" s="9"/>
    </row>
    <row r="5122" s="1" customFormat="1" customHeight="1" spans="1:6">
      <c r="A5122" s="9" t="str">
        <f>"10280517120"</f>
        <v>10280517120</v>
      </c>
      <c r="B5122" s="10">
        <v>40.56</v>
      </c>
      <c r="C5122" s="9"/>
      <c r="D5122" s="9">
        <f t="shared" si="79"/>
        <v>40.56</v>
      </c>
      <c r="E5122" s="11"/>
      <c r="F5122" s="9"/>
    </row>
    <row r="5123" s="1" customFormat="1" customHeight="1" spans="1:6">
      <c r="A5123" s="9" t="str">
        <f>"10070517121"</f>
        <v>10070517121</v>
      </c>
      <c r="B5123" s="10">
        <v>44.73</v>
      </c>
      <c r="C5123" s="9"/>
      <c r="D5123" s="9">
        <f t="shared" ref="D5123:D5186" si="80">SUM(B5123:C5123)</f>
        <v>44.73</v>
      </c>
      <c r="E5123" s="11"/>
      <c r="F5123" s="9"/>
    </row>
    <row r="5124" s="1" customFormat="1" customHeight="1" spans="1:6">
      <c r="A5124" s="9" t="str">
        <f>"10060517122"</f>
        <v>10060517122</v>
      </c>
      <c r="B5124" s="10">
        <v>34.21</v>
      </c>
      <c r="C5124" s="9"/>
      <c r="D5124" s="9">
        <f t="shared" si="80"/>
        <v>34.21</v>
      </c>
      <c r="E5124" s="11"/>
      <c r="F5124" s="9"/>
    </row>
    <row r="5125" s="1" customFormat="1" customHeight="1" spans="1:6">
      <c r="A5125" s="9" t="str">
        <f>"10330517123"</f>
        <v>10330517123</v>
      </c>
      <c r="B5125" s="10">
        <v>36.11</v>
      </c>
      <c r="C5125" s="9"/>
      <c r="D5125" s="9">
        <f t="shared" si="80"/>
        <v>36.11</v>
      </c>
      <c r="E5125" s="11"/>
      <c r="F5125" s="9"/>
    </row>
    <row r="5126" s="1" customFormat="1" customHeight="1" spans="1:6">
      <c r="A5126" s="9" t="str">
        <f>"10530517124"</f>
        <v>10530517124</v>
      </c>
      <c r="B5126" s="10">
        <v>0</v>
      </c>
      <c r="C5126" s="9"/>
      <c r="D5126" s="9">
        <f t="shared" si="80"/>
        <v>0</v>
      </c>
      <c r="E5126" s="11"/>
      <c r="F5126" s="9" t="s">
        <v>7</v>
      </c>
    </row>
    <row r="5127" s="1" customFormat="1" customHeight="1" spans="1:6">
      <c r="A5127" s="9" t="str">
        <f>"10120517125"</f>
        <v>10120517125</v>
      </c>
      <c r="B5127" s="10">
        <v>43.79</v>
      </c>
      <c r="C5127" s="9"/>
      <c r="D5127" s="9">
        <f t="shared" si="80"/>
        <v>43.79</v>
      </c>
      <c r="E5127" s="11"/>
      <c r="F5127" s="9"/>
    </row>
    <row r="5128" s="1" customFormat="1" customHeight="1" spans="1:6">
      <c r="A5128" s="9" t="str">
        <f>"10280517126"</f>
        <v>10280517126</v>
      </c>
      <c r="B5128" s="10">
        <v>43.59</v>
      </c>
      <c r="C5128" s="9"/>
      <c r="D5128" s="9">
        <f t="shared" si="80"/>
        <v>43.59</v>
      </c>
      <c r="E5128" s="11"/>
      <c r="F5128" s="9"/>
    </row>
    <row r="5129" s="1" customFormat="1" customHeight="1" spans="1:6">
      <c r="A5129" s="9" t="str">
        <f>"10070517127"</f>
        <v>10070517127</v>
      </c>
      <c r="B5129" s="10">
        <v>44.23</v>
      </c>
      <c r="C5129" s="9"/>
      <c r="D5129" s="9">
        <f t="shared" si="80"/>
        <v>44.23</v>
      </c>
      <c r="E5129" s="11"/>
      <c r="F5129" s="9"/>
    </row>
    <row r="5130" s="1" customFormat="1" customHeight="1" spans="1:6">
      <c r="A5130" s="9" t="str">
        <f>"20270517128"</f>
        <v>20270517128</v>
      </c>
      <c r="B5130" s="10">
        <v>43.45</v>
      </c>
      <c r="C5130" s="9"/>
      <c r="D5130" s="9">
        <f t="shared" si="80"/>
        <v>43.45</v>
      </c>
      <c r="E5130" s="11"/>
      <c r="F5130" s="9"/>
    </row>
    <row r="5131" s="1" customFormat="1" customHeight="1" spans="1:6">
      <c r="A5131" s="9" t="str">
        <f>"10270517129"</f>
        <v>10270517129</v>
      </c>
      <c r="B5131" s="10">
        <v>41.29</v>
      </c>
      <c r="C5131" s="9"/>
      <c r="D5131" s="9">
        <f t="shared" si="80"/>
        <v>41.29</v>
      </c>
      <c r="E5131" s="11"/>
      <c r="F5131" s="9"/>
    </row>
    <row r="5132" s="1" customFormat="1" customHeight="1" spans="1:6">
      <c r="A5132" s="9" t="str">
        <f>"10520517130"</f>
        <v>10520517130</v>
      </c>
      <c r="B5132" s="10">
        <v>37.16</v>
      </c>
      <c r="C5132" s="9"/>
      <c r="D5132" s="9">
        <f t="shared" si="80"/>
        <v>37.16</v>
      </c>
      <c r="E5132" s="11"/>
      <c r="F5132" s="9"/>
    </row>
    <row r="5133" s="1" customFormat="1" customHeight="1" spans="1:6">
      <c r="A5133" s="9" t="str">
        <f>"10520517201"</f>
        <v>10520517201</v>
      </c>
      <c r="B5133" s="10">
        <v>34.27</v>
      </c>
      <c r="C5133" s="9"/>
      <c r="D5133" s="9">
        <f t="shared" si="80"/>
        <v>34.27</v>
      </c>
      <c r="E5133" s="11"/>
      <c r="F5133" s="9"/>
    </row>
    <row r="5134" s="1" customFormat="1" customHeight="1" spans="1:6">
      <c r="A5134" s="9" t="str">
        <f>"10360517202"</f>
        <v>10360517202</v>
      </c>
      <c r="B5134" s="10">
        <v>38.08</v>
      </c>
      <c r="C5134" s="9"/>
      <c r="D5134" s="9">
        <f t="shared" si="80"/>
        <v>38.08</v>
      </c>
      <c r="E5134" s="11"/>
      <c r="F5134" s="9"/>
    </row>
    <row r="5135" s="1" customFormat="1" customHeight="1" spans="1:6">
      <c r="A5135" s="9" t="str">
        <f>"10510517203"</f>
        <v>10510517203</v>
      </c>
      <c r="B5135" s="10">
        <v>0</v>
      </c>
      <c r="C5135" s="9"/>
      <c r="D5135" s="9">
        <f t="shared" si="80"/>
        <v>0</v>
      </c>
      <c r="E5135" s="11"/>
      <c r="F5135" s="9" t="s">
        <v>7</v>
      </c>
    </row>
    <row r="5136" s="1" customFormat="1" customHeight="1" spans="1:6">
      <c r="A5136" s="9" t="str">
        <f>"10330517204"</f>
        <v>10330517204</v>
      </c>
      <c r="B5136" s="10">
        <v>34.74</v>
      </c>
      <c r="C5136" s="9"/>
      <c r="D5136" s="9">
        <f t="shared" si="80"/>
        <v>34.74</v>
      </c>
      <c r="E5136" s="11"/>
      <c r="F5136" s="9"/>
    </row>
    <row r="5137" s="1" customFormat="1" customHeight="1" spans="1:6">
      <c r="A5137" s="9" t="str">
        <f>"10140517205"</f>
        <v>10140517205</v>
      </c>
      <c r="B5137" s="10">
        <v>0</v>
      </c>
      <c r="C5137" s="9"/>
      <c r="D5137" s="9">
        <f t="shared" si="80"/>
        <v>0</v>
      </c>
      <c r="E5137" s="11"/>
      <c r="F5137" s="9" t="s">
        <v>7</v>
      </c>
    </row>
    <row r="5138" s="1" customFormat="1" customHeight="1" spans="1:6">
      <c r="A5138" s="9" t="str">
        <f>"10240517206"</f>
        <v>10240517206</v>
      </c>
      <c r="B5138" s="10">
        <v>43.56</v>
      </c>
      <c r="C5138" s="9"/>
      <c r="D5138" s="9">
        <f t="shared" si="80"/>
        <v>43.56</v>
      </c>
      <c r="E5138" s="11"/>
      <c r="F5138" s="9"/>
    </row>
    <row r="5139" s="1" customFormat="1" customHeight="1" spans="1:6">
      <c r="A5139" s="9" t="str">
        <f>"10080517207"</f>
        <v>10080517207</v>
      </c>
      <c r="B5139" s="10">
        <v>43.01</v>
      </c>
      <c r="C5139" s="9"/>
      <c r="D5139" s="9">
        <f t="shared" si="80"/>
        <v>43.01</v>
      </c>
      <c r="E5139" s="11"/>
      <c r="F5139" s="9"/>
    </row>
    <row r="5140" s="1" customFormat="1" customHeight="1" spans="1:6">
      <c r="A5140" s="9" t="str">
        <f>"10100517208"</f>
        <v>10100517208</v>
      </c>
      <c r="B5140" s="10">
        <v>44.81</v>
      </c>
      <c r="C5140" s="9"/>
      <c r="D5140" s="9">
        <f t="shared" si="80"/>
        <v>44.81</v>
      </c>
      <c r="E5140" s="11"/>
      <c r="F5140" s="9"/>
    </row>
    <row r="5141" s="1" customFormat="1" customHeight="1" spans="1:6">
      <c r="A5141" s="9" t="str">
        <f>"10530517209"</f>
        <v>10530517209</v>
      </c>
      <c r="B5141" s="10">
        <v>0</v>
      </c>
      <c r="C5141" s="9"/>
      <c r="D5141" s="9">
        <f t="shared" si="80"/>
        <v>0</v>
      </c>
      <c r="E5141" s="11"/>
      <c r="F5141" s="9" t="s">
        <v>7</v>
      </c>
    </row>
    <row r="5142" s="1" customFormat="1" customHeight="1" spans="1:6">
      <c r="A5142" s="9" t="str">
        <f>"10180517210"</f>
        <v>10180517210</v>
      </c>
      <c r="B5142" s="10">
        <v>36.09</v>
      </c>
      <c r="C5142" s="9"/>
      <c r="D5142" s="9">
        <f t="shared" si="80"/>
        <v>36.09</v>
      </c>
      <c r="E5142" s="11"/>
      <c r="F5142" s="9"/>
    </row>
    <row r="5143" s="1" customFormat="1" customHeight="1" spans="1:6">
      <c r="A5143" s="9" t="str">
        <f>"10480517211"</f>
        <v>10480517211</v>
      </c>
      <c r="B5143" s="10">
        <v>0</v>
      </c>
      <c r="C5143" s="9"/>
      <c r="D5143" s="9">
        <f t="shared" si="80"/>
        <v>0</v>
      </c>
      <c r="E5143" s="11"/>
      <c r="F5143" s="9" t="s">
        <v>7</v>
      </c>
    </row>
    <row r="5144" s="1" customFormat="1" customHeight="1" spans="1:6">
      <c r="A5144" s="9" t="str">
        <f>"10290517212"</f>
        <v>10290517212</v>
      </c>
      <c r="B5144" s="10">
        <v>43.37</v>
      </c>
      <c r="C5144" s="9"/>
      <c r="D5144" s="9">
        <f t="shared" si="80"/>
        <v>43.37</v>
      </c>
      <c r="E5144" s="11"/>
      <c r="F5144" s="9"/>
    </row>
    <row r="5145" s="1" customFormat="1" customHeight="1" spans="1:6">
      <c r="A5145" s="9" t="str">
        <f>"10410517213"</f>
        <v>10410517213</v>
      </c>
      <c r="B5145" s="10">
        <v>55.94</v>
      </c>
      <c r="C5145" s="9"/>
      <c r="D5145" s="9">
        <f t="shared" si="80"/>
        <v>55.94</v>
      </c>
      <c r="E5145" s="11"/>
      <c r="F5145" s="9"/>
    </row>
    <row r="5146" s="1" customFormat="1" customHeight="1" spans="1:6">
      <c r="A5146" s="9" t="str">
        <f>"10360517214"</f>
        <v>10360517214</v>
      </c>
      <c r="B5146" s="10">
        <v>0</v>
      </c>
      <c r="C5146" s="9"/>
      <c r="D5146" s="9">
        <f t="shared" si="80"/>
        <v>0</v>
      </c>
      <c r="E5146" s="11"/>
      <c r="F5146" s="9" t="s">
        <v>7</v>
      </c>
    </row>
    <row r="5147" s="1" customFormat="1" customHeight="1" spans="1:6">
      <c r="A5147" s="9" t="str">
        <f>"10150517215"</f>
        <v>10150517215</v>
      </c>
      <c r="B5147" s="10">
        <v>0</v>
      </c>
      <c r="C5147" s="9"/>
      <c r="D5147" s="9">
        <f t="shared" si="80"/>
        <v>0</v>
      </c>
      <c r="E5147" s="11"/>
      <c r="F5147" s="9" t="s">
        <v>7</v>
      </c>
    </row>
    <row r="5148" s="1" customFormat="1" customHeight="1" spans="1:6">
      <c r="A5148" s="9" t="str">
        <f>"10130517216"</f>
        <v>10130517216</v>
      </c>
      <c r="B5148" s="10">
        <v>0</v>
      </c>
      <c r="C5148" s="9"/>
      <c r="D5148" s="9">
        <f t="shared" si="80"/>
        <v>0</v>
      </c>
      <c r="E5148" s="11"/>
      <c r="F5148" s="9" t="s">
        <v>7</v>
      </c>
    </row>
    <row r="5149" s="1" customFormat="1" customHeight="1" spans="1:6">
      <c r="A5149" s="9" t="str">
        <f>"10040517217"</f>
        <v>10040517217</v>
      </c>
      <c r="B5149" s="10">
        <v>47.97</v>
      </c>
      <c r="C5149" s="9"/>
      <c r="D5149" s="9">
        <f t="shared" si="80"/>
        <v>47.97</v>
      </c>
      <c r="E5149" s="11"/>
      <c r="F5149" s="9"/>
    </row>
    <row r="5150" s="1" customFormat="1" customHeight="1" spans="1:6">
      <c r="A5150" s="9" t="str">
        <f>"10130517218"</f>
        <v>10130517218</v>
      </c>
      <c r="B5150" s="10">
        <v>0</v>
      </c>
      <c r="C5150" s="9"/>
      <c r="D5150" s="9">
        <f t="shared" si="80"/>
        <v>0</v>
      </c>
      <c r="E5150" s="11"/>
      <c r="F5150" s="9" t="s">
        <v>7</v>
      </c>
    </row>
    <row r="5151" s="1" customFormat="1" customHeight="1" spans="1:6">
      <c r="A5151" s="9" t="str">
        <f>"10240517219"</f>
        <v>10240517219</v>
      </c>
      <c r="B5151" s="10">
        <v>0</v>
      </c>
      <c r="C5151" s="9"/>
      <c r="D5151" s="9">
        <f t="shared" si="80"/>
        <v>0</v>
      </c>
      <c r="E5151" s="11"/>
      <c r="F5151" s="9" t="s">
        <v>7</v>
      </c>
    </row>
    <row r="5152" s="1" customFormat="1" customHeight="1" spans="1:6">
      <c r="A5152" s="9" t="str">
        <f>"10490517220"</f>
        <v>10490517220</v>
      </c>
      <c r="B5152" s="10">
        <v>0</v>
      </c>
      <c r="C5152" s="9"/>
      <c r="D5152" s="9">
        <f t="shared" si="80"/>
        <v>0</v>
      </c>
      <c r="E5152" s="11"/>
      <c r="F5152" s="9" t="s">
        <v>7</v>
      </c>
    </row>
    <row r="5153" s="1" customFormat="1" customHeight="1" spans="1:6">
      <c r="A5153" s="9" t="str">
        <f>"10110517221"</f>
        <v>10110517221</v>
      </c>
      <c r="B5153" s="10">
        <v>0</v>
      </c>
      <c r="C5153" s="9"/>
      <c r="D5153" s="9">
        <f t="shared" si="80"/>
        <v>0</v>
      </c>
      <c r="E5153" s="11"/>
      <c r="F5153" s="9" t="s">
        <v>7</v>
      </c>
    </row>
    <row r="5154" s="1" customFormat="1" customHeight="1" spans="1:6">
      <c r="A5154" s="9" t="str">
        <f>"10010517222"</f>
        <v>10010517222</v>
      </c>
      <c r="B5154" s="10">
        <v>47.15</v>
      </c>
      <c r="C5154" s="9"/>
      <c r="D5154" s="9">
        <f t="shared" si="80"/>
        <v>47.15</v>
      </c>
      <c r="E5154" s="11"/>
      <c r="F5154" s="9"/>
    </row>
    <row r="5155" s="1" customFormat="1" customHeight="1" spans="1:6">
      <c r="A5155" s="9" t="str">
        <f>"10090517223"</f>
        <v>10090517223</v>
      </c>
      <c r="B5155" s="10">
        <v>37.46</v>
      </c>
      <c r="C5155" s="9"/>
      <c r="D5155" s="9">
        <f t="shared" si="80"/>
        <v>37.46</v>
      </c>
      <c r="E5155" s="11"/>
      <c r="F5155" s="9"/>
    </row>
    <row r="5156" s="1" customFormat="1" customHeight="1" spans="1:6">
      <c r="A5156" s="9" t="str">
        <f>"10390517224"</f>
        <v>10390517224</v>
      </c>
      <c r="B5156" s="10">
        <v>34.4</v>
      </c>
      <c r="C5156" s="9"/>
      <c r="D5156" s="9">
        <f t="shared" si="80"/>
        <v>34.4</v>
      </c>
      <c r="E5156" s="11"/>
      <c r="F5156" s="9"/>
    </row>
    <row r="5157" s="1" customFormat="1" customHeight="1" spans="1:6">
      <c r="A5157" s="9" t="str">
        <f>"10300517225"</f>
        <v>10300517225</v>
      </c>
      <c r="B5157" s="10">
        <v>0</v>
      </c>
      <c r="C5157" s="9"/>
      <c r="D5157" s="9">
        <f t="shared" si="80"/>
        <v>0</v>
      </c>
      <c r="E5157" s="11"/>
      <c r="F5157" s="9" t="s">
        <v>7</v>
      </c>
    </row>
    <row r="5158" s="1" customFormat="1" customHeight="1" spans="1:6">
      <c r="A5158" s="9" t="str">
        <f>"10090517226"</f>
        <v>10090517226</v>
      </c>
      <c r="B5158" s="10">
        <v>33.69</v>
      </c>
      <c r="C5158" s="9"/>
      <c r="D5158" s="9">
        <f t="shared" si="80"/>
        <v>33.69</v>
      </c>
      <c r="E5158" s="11"/>
      <c r="F5158" s="9"/>
    </row>
    <row r="5159" s="1" customFormat="1" customHeight="1" spans="1:6">
      <c r="A5159" s="9" t="str">
        <f>"10010517227"</f>
        <v>10010517227</v>
      </c>
      <c r="B5159" s="10">
        <v>0</v>
      </c>
      <c r="C5159" s="9"/>
      <c r="D5159" s="9">
        <f t="shared" si="80"/>
        <v>0</v>
      </c>
      <c r="E5159" s="11"/>
      <c r="F5159" s="9" t="s">
        <v>7</v>
      </c>
    </row>
    <row r="5160" s="1" customFormat="1" customHeight="1" spans="1:6">
      <c r="A5160" s="9" t="str">
        <f>"10210517228"</f>
        <v>10210517228</v>
      </c>
      <c r="B5160" s="10">
        <v>0</v>
      </c>
      <c r="C5160" s="9"/>
      <c r="D5160" s="9">
        <f t="shared" si="80"/>
        <v>0</v>
      </c>
      <c r="E5160" s="11"/>
      <c r="F5160" s="9" t="s">
        <v>7</v>
      </c>
    </row>
    <row r="5161" s="1" customFormat="1" customHeight="1" spans="1:6">
      <c r="A5161" s="9" t="str">
        <f>"10080517229"</f>
        <v>10080517229</v>
      </c>
      <c r="B5161" s="10">
        <v>0</v>
      </c>
      <c r="C5161" s="9"/>
      <c r="D5161" s="9">
        <f t="shared" si="80"/>
        <v>0</v>
      </c>
      <c r="E5161" s="11"/>
      <c r="F5161" s="9" t="s">
        <v>7</v>
      </c>
    </row>
    <row r="5162" s="1" customFormat="1" customHeight="1" spans="1:6">
      <c r="A5162" s="9" t="str">
        <f>"10440517230"</f>
        <v>10440517230</v>
      </c>
      <c r="B5162" s="10">
        <v>0</v>
      </c>
      <c r="C5162" s="9"/>
      <c r="D5162" s="9">
        <f t="shared" si="80"/>
        <v>0</v>
      </c>
      <c r="E5162" s="11"/>
      <c r="F5162" s="9" t="s">
        <v>7</v>
      </c>
    </row>
    <row r="5163" s="1" customFormat="1" customHeight="1" spans="1:6">
      <c r="A5163" s="9" t="str">
        <f>"10120517301"</f>
        <v>10120517301</v>
      </c>
      <c r="B5163" s="10">
        <v>43.56</v>
      </c>
      <c r="C5163" s="9"/>
      <c r="D5163" s="9">
        <f t="shared" si="80"/>
        <v>43.56</v>
      </c>
      <c r="E5163" s="11"/>
      <c r="F5163" s="9"/>
    </row>
    <row r="5164" s="1" customFormat="1" customHeight="1" spans="1:6">
      <c r="A5164" s="9" t="str">
        <f>"10210517302"</f>
        <v>10210517302</v>
      </c>
      <c r="B5164" s="10">
        <v>40.48</v>
      </c>
      <c r="C5164" s="9"/>
      <c r="D5164" s="9">
        <f t="shared" si="80"/>
        <v>40.48</v>
      </c>
      <c r="E5164" s="11"/>
      <c r="F5164" s="9"/>
    </row>
    <row r="5165" s="1" customFormat="1" customHeight="1" spans="1:6">
      <c r="A5165" s="9" t="str">
        <f>"10450517303"</f>
        <v>10450517303</v>
      </c>
      <c r="B5165" s="10">
        <v>40.11</v>
      </c>
      <c r="C5165" s="9"/>
      <c r="D5165" s="9">
        <f t="shared" si="80"/>
        <v>40.11</v>
      </c>
      <c r="E5165" s="11"/>
      <c r="F5165" s="9"/>
    </row>
    <row r="5166" s="1" customFormat="1" customHeight="1" spans="1:6">
      <c r="A5166" s="9" t="str">
        <f>"10330517304"</f>
        <v>10330517304</v>
      </c>
      <c r="B5166" s="10">
        <v>77.6</v>
      </c>
      <c r="C5166" s="9"/>
      <c r="D5166" s="9">
        <f t="shared" si="80"/>
        <v>77.6</v>
      </c>
      <c r="E5166" s="11"/>
      <c r="F5166" s="9"/>
    </row>
    <row r="5167" s="1" customFormat="1" customHeight="1" spans="1:6">
      <c r="A5167" s="9" t="str">
        <f>"20180517305"</f>
        <v>20180517305</v>
      </c>
      <c r="B5167" s="10">
        <v>0</v>
      </c>
      <c r="C5167" s="9"/>
      <c r="D5167" s="9">
        <f t="shared" si="80"/>
        <v>0</v>
      </c>
      <c r="E5167" s="11"/>
      <c r="F5167" s="9" t="s">
        <v>7</v>
      </c>
    </row>
    <row r="5168" s="1" customFormat="1" customHeight="1" spans="1:6">
      <c r="A5168" s="9" t="str">
        <f>"20270517306"</f>
        <v>20270517306</v>
      </c>
      <c r="B5168" s="10">
        <v>0</v>
      </c>
      <c r="C5168" s="9"/>
      <c r="D5168" s="9">
        <f t="shared" si="80"/>
        <v>0</v>
      </c>
      <c r="E5168" s="11"/>
      <c r="F5168" s="9" t="s">
        <v>7</v>
      </c>
    </row>
    <row r="5169" s="1" customFormat="1" customHeight="1" spans="1:6">
      <c r="A5169" s="9" t="str">
        <f>"10380517307"</f>
        <v>10380517307</v>
      </c>
      <c r="B5169" s="10">
        <v>0</v>
      </c>
      <c r="C5169" s="9"/>
      <c r="D5169" s="9">
        <f t="shared" si="80"/>
        <v>0</v>
      </c>
      <c r="E5169" s="11"/>
      <c r="F5169" s="9" t="s">
        <v>7</v>
      </c>
    </row>
    <row r="5170" s="1" customFormat="1" customHeight="1" spans="1:6">
      <c r="A5170" s="9" t="str">
        <f>"10070517308"</f>
        <v>10070517308</v>
      </c>
      <c r="B5170" s="10">
        <v>0</v>
      </c>
      <c r="C5170" s="9"/>
      <c r="D5170" s="9">
        <f t="shared" si="80"/>
        <v>0</v>
      </c>
      <c r="E5170" s="11"/>
      <c r="F5170" s="9" t="s">
        <v>7</v>
      </c>
    </row>
    <row r="5171" s="1" customFormat="1" customHeight="1" spans="1:6">
      <c r="A5171" s="9" t="str">
        <f>"10280517309"</f>
        <v>10280517309</v>
      </c>
      <c r="B5171" s="10">
        <v>0</v>
      </c>
      <c r="C5171" s="9"/>
      <c r="D5171" s="9">
        <f t="shared" si="80"/>
        <v>0</v>
      </c>
      <c r="E5171" s="11"/>
      <c r="F5171" s="9" t="s">
        <v>7</v>
      </c>
    </row>
    <row r="5172" s="1" customFormat="1" customHeight="1" spans="1:6">
      <c r="A5172" s="9" t="str">
        <f>"10210517310"</f>
        <v>10210517310</v>
      </c>
      <c r="B5172" s="10">
        <v>28.61</v>
      </c>
      <c r="C5172" s="9"/>
      <c r="D5172" s="9">
        <f t="shared" si="80"/>
        <v>28.61</v>
      </c>
      <c r="E5172" s="11"/>
      <c r="F5172" s="9"/>
    </row>
    <row r="5173" s="1" customFormat="1" customHeight="1" spans="1:6">
      <c r="A5173" s="9" t="str">
        <f>"10350517311"</f>
        <v>10350517311</v>
      </c>
      <c r="B5173" s="10">
        <v>39.47</v>
      </c>
      <c r="C5173" s="9"/>
      <c r="D5173" s="9">
        <f t="shared" si="80"/>
        <v>39.47</v>
      </c>
      <c r="E5173" s="11"/>
      <c r="F5173" s="9"/>
    </row>
    <row r="5174" s="1" customFormat="1" customHeight="1" spans="1:6">
      <c r="A5174" s="9" t="str">
        <f>"10140517312"</f>
        <v>10140517312</v>
      </c>
      <c r="B5174" s="10">
        <v>35.87</v>
      </c>
      <c r="C5174" s="9"/>
      <c r="D5174" s="9">
        <f t="shared" si="80"/>
        <v>35.87</v>
      </c>
      <c r="E5174" s="11"/>
      <c r="F5174" s="9"/>
    </row>
    <row r="5175" s="1" customFormat="1" customHeight="1" spans="1:6">
      <c r="A5175" s="9" t="str">
        <f>"10090517313"</f>
        <v>10090517313</v>
      </c>
      <c r="B5175" s="10">
        <v>49.78</v>
      </c>
      <c r="C5175" s="9"/>
      <c r="D5175" s="9">
        <f t="shared" si="80"/>
        <v>49.78</v>
      </c>
      <c r="E5175" s="11"/>
      <c r="F5175" s="9"/>
    </row>
    <row r="5176" s="1" customFormat="1" customHeight="1" spans="1:6">
      <c r="A5176" s="9" t="str">
        <f>"10360517314"</f>
        <v>10360517314</v>
      </c>
      <c r="B5176" s="10">
        <v>35.89</v>
      </c>
      <c r="C5176" s="9"/>
      <c r="D5176" s="9">
        <f t="shared" si="80"/>
        <v>35.89</v>
      </c>
      <c r="E5176" s="11"/>
      <c r="F5176" s="9"/>
    </row>
    <row r="5177" s="1" customFormat="1" customHeight="1" spans="1:6">
      <c r="A5177" s="9" t="str">
        <f>"10150517315"</f>
        <v>10150517315</v>
      </c>
      <c r="B5177" s="10">
        <v>32.95</v>
      </c>
      <c r="C5177" s="9"/>
      <c r="D5177" s="9">
        <f t="shared" si="80"/>
        <v>32.95</v>
      </c>
      <c r="E5177" s="11"/>
      <c r="F5177" s="9"/>
    </row>
    <row r="5178" s="1" customFormat="1" customHeight="1" spans="1:6">
      <c r="A5178" s="9" t="str">
        <f>"10230517316"</f>
        <v>10230517316</v>
      </c>
      <c r="B5178" s="10">
        <v>46.62</v>
      </c>
      <c r="C5178" s="9"/>
      <c r="D5178" s="9">
        <f t="shared" si="80"/>
        <v>46.62</v>
      </c>
      <c r="E5178" s="11"/>
      <c r="F5178" s="9"/>
    </row>
    <row r="5179" s="1" customFormat="1" customHeight="1" spans="1:6">
      <c r="A5179" s="9" t="str">
        <f>"10230517317"</f>
        <v>10230517317</v>
      </c>
      <c r="B5179" s="10">
        <v>0</v>
      </c>
      <c r="C5179" s="9"/>
      <c r="D5179" s="9">
        <f t="shared" si="80"/>
        <v>0</v>
      </c>
      <c r="E5179" s="11"/>
      <c r="F5179" s="9" t="s">
        <v>7</v>
      </c>
    </row>
    <row r="5180" s="1" customFormat="1" customHeight="1" spans="1:6">
      <c r="A5180" s="9" t="str">
        <f>"10300517318"</f>
        <v>10300517318</v>
      </c>
      <c r="B5180" s="10">
        <v>31.84</v>
      </c>
      <c r="C5180" s="9"/>
      <c r="D5180" s="9">
        <f t="shared" si="80"/>
        <v>31.84</v>
      </c>
      <c r="E5180" s="11"/>
      <c r="F5180" s="9"/>
    </row>
    <row r="5181" s="1" customFormat="1" customHeight="1" spans="1:6">
      <c r="A5181" s="9" t="str">
        <f>"10070517319"</f>
        <v>10070517319</v>
      </c>
      <c r="B5181" s="10">
        <v>48.64</v>
      </c>
      <c r="C5181" s="9"/>
      <c r="D5181" s="9">
        <f t="shared" si="80"/>
        <v>48.64</v>
      </c>
      <c r="E5181" s="11"/>
      <c r="F5181" s="9"/>
    </row>
    <row r="5182" s="1" customFormat="1" customHeight="1" spans="1:6">
      <c r="A5182" s="9" t="str">
        <f>"10380517320"</f>
        <v>10380517320</v>
      </c>
      <c r="B5182" s="10">
        <v>47.13</v>
      </c>
      <c r="C5182" s="9"/>
      <c r="D5182" s="9">
        <f t="shared" si="80"/>
        <v>47.13</v>
      </c>
      <c r="E5182" s="11"/>
      <c r="F5182" s="9"/>
    </row>
    <row r="5183" s="1" customFormat="1" customHeight="1" spans="1:6">
      <c r="A5183" s="9" t="str">
        <f>"10100517321"</f>
        <v>10100517321</v>
      </c>
      <c r="B5183" s="10">
        <v>38.88</v>
      </c>
      <c r="C5183" s="9"/>
      <c r="D5183" s="9">
        <f t="shared" si="80"/>
        <v>38.88</v>
      </c>
      <c r="E5183" s="11"/>
      <c r="F5183" s="9"/>
    </row>
    <row r="5184" s="1" customFormat="1" customHeight="1" spans="1:6">
      <c r="A5184" s="9" t="str">
        <f>"10450517322"</f>
        <v>10450517322</v>
      </c>
      <c r="B5184" s="10">
        <v>0</v>
      </c>
      <c r="C5184" s="9"/>
      <c r="D5184" s="9">
        <f t="shared" si="80"/>
        <v>0</v>
      </c>
      <c r="E5184" s="11"/>
      <c r="F5184" s="9" t="s">
        <v>7</v>
      </c>
    </row>
    <row r="5185" s="1" customFormat="1" customHeight="1" spans="1:6">
      <c r="A5185" s="9" t="str">
        <f>"10300517323"</f>
        <v>10300517323</v>
      </c>
      <c r="B5185" s="10">
        <v>42.39</v>
      </c>
      <c r="C5185" s="9"/>
      <c r="D5185" s="9">
        <f t="shared" si="80"/>
        <v>42.39</v>
      </c>
      <c r="E5185" s="11"/>
      <c r="F5185" s="9"/>
    </row>
    <row r="5186" s="1" customFormat="1" customHeight="1" spans="1:6">
      <c r="A5186" s="9" t="str">
        <f>"10160517324"</f>
        <v>10160517324</v>
      </c>
      <c r="B5186" s="10">
        <v>45.45</v>
      </c>
      <c r="C5186" s="9"/>
      <c r="D5186" s="9">
        <f t="shared" si="80"/>
        <v>45.45</v>
      </c>
      <c r="E5186" s="11"/>
      <c r="F5186" s="9"/>
    </row>
    <row r="5187" s="1" customFormat="1" customHeight="1" spans="1:6">
      <c r="A5187" s="9" t="str">
        <f>"10360517325"</f>
        <v>10360517325</v>
      </c>
      <c r="B5187" s="10">
        <v>35.09</v>
      </c>
      <c r="C5187" s="9"/>
      <c r="D5187" s="9">
        <f t="shared" ref="D5187:D5250" si="81">SUM(B5187:C5187)</f>
        <v>35.09</v>
      </c>
      <c r="E5187" s="11"/>
      <c r="F5187" s="9"/>
    </row>
    <row r="5188" s="1" customFormat="1" customHeight="1" spans="1:6">
      <c r="A5188" s="9" t="str">
        <f>"10120517326"</f>
        <v>10120517326</v>
      </c>
      <c r="B5188" s="10">
        <v>0</v>
      </c>
      <c r="C5188" s="9"/>
      <c r="D5188" s="9">
        <f t="shared" si="81"/>
        <v>0</v>
      </c>
      <c r="E5188" s="11"/>
      <c r="F5188" s="9" t="s">
        <v>7</v>
      </c>
    </row>
    <row r="5189" s="1" customFormat="1" customHeight="1" spans="1:6">
      <c r="A5189" s="9" t="str">
        <f>"10130517327"</f>
        <v>10130517327</v>
      </c>
      <c r="B5189" s="10">
        <v>37.55</v>
      </c>
      <c r="C5189" s="9"/>
      <c r="D5189" s="9">
        <f t="shared" si="81"/>
        <v>37.55</v>
      </c>
      <c r="E5189" s="11"/>
      <c r="F5189" s="9"/>
    </row>
    <row r="5190" s="1" customFormat="1" customHeight="1" spans="1:6">
      <c r="A5190" s="9" t="str">
        <f>"10500517328"</f>
        <v>10500517328</v>
      </c>
      <c r="B5190" s="10">
        <v>0</v>
      </c>
      <c r="C5190" s="9"/>
      <c r="D5190" s="9">
        <f t="shared" si="81"/>
        <v>0</v>
      </c>
      <c r="E5190" s="11"/>
      <c r="F5190" s="9" t="s">
        <v>7</v>
      </c>
    </row>
    <row r="5191" s="1" customFormat="1" customHeight="1" spans="1:6">
      <c r="A5191" s="9" t="str">
        <f>"10090517329"</f>
        <v>10090517329</v>
      </c>
      <c r="B5191" s="10">
        <v>0</v>
      </c>
      <c r="C5191" s="9"/>
      <c r="D5191" s="9">
        <f t="shared" si="81"/>
        <v>0</v>
      </c>
      <c r="E5191" s="11"/>
      <c r="F5191" s="9" t="s">
        <v>7</v>
      </c>
    </row>
    <row r="5192" s="1" customFormat="1" customHeight="1" spans="1:6">
      <c r="A5192" s="9" t="str">
        <f>"10060517330"</f>
        <v>10060517330</v>
      </c>
      <c r="B5192" s="10">
        <v>37.95</v>
      </c>
      <c r="C5192" s="9"/>
      <c r="D5192" s="9">
        <f t="shared" si="81"/>
        <v>37.95</v>
      </c>
      <c r="E5192" s="11"/>
      <c r="F5192" s="9"/>
    </row>
    <row r="5193" s="1" customFormat="1" customHeight="1" spans="1:6">
      <c r="A5193" s="9" t="str">
        <f>"10090517401"</f>
        <v>10090517401</v>
      </c>
      <c r="B5193" s="10">
        <v>35.02</v>
      </c>
      <c r="C5193" s="9"/>
      <c r="D5193" s="9">
        <f t="shared" si="81"/>
        <v>35.02</v>
      </c>
      <c r="E5193" s="11"/>
      <c r="F5193" s="9"/>
    </row>
    <row r="5194" s="1" customFormat="1" customHeight="1" spans="1:6">
      <c r="A5194" s="9" t="str">
        <f>"10360517402"</f>
        <v>10360517402</v>
      </c>
      <c r="B5194" s="10">
        <v>0</v>
      </c>
      <c r="C5194" s="9"/>
      <c r="D5194" s="9">
        <f t="shared" si="81"/>
        <v>0</v>
      </c>
      <c r="E5194" s="11"/>
      <c r="F5194" s="9" t="s">
        <v>7</v>
      </c>
    </row>
    <row r="5195" s="1" customFormat="1" customHeight="1" spans="1:6">
      <c r="A5195" s="9" t="str">
        <f>"10360517403"</f>
        <v>10360517403</v>
      </c>
      <c r="B5195" s="10">
        <v>44.39</v>
      </c>
      <c r="C5195" s="9"/>
      <c r="D5195" s="9">
        <f t="shared" si="81"/>
        <v>44.39</v>
      </c>
      <c r="E5195" s="11"/>
      <c r="F5195" s="9"/>
    </row>
    <row r="5196" s="1" customFormat="1" customHeight="1" spans="1:6">
      <c r="A5196" s="9" t="str">
        <f>"10360517404"</f>
        <v>10360517404</v>
      </c>
      <c r="B5196" s="10">
        <v>38.23</v>
      </c>
      <c r="C5196" s="9"/>
      <c r="D5196" s="9">
        <f t="shared" si="81"/>
        <v>38.23</v>
      </c>
      <c r="E5196" s="11"/>
      <c r="F5196" s="9"/>
    </row>
    <row r="5197" s="1" customFormat="1" customHeight="1" spans="1:6">
      <c r="A5197" s="9" t="str">
        <f>"10060517405"</f>
        <v>10060517405</v>
      </c>
      <c r="B5197" s="10">
        <v>42.2</v>
      </c>
      <c r="C5197" s="9"/>
      <c r="D5197" s="9">
        <f t="shared" si="81"/>
        <v>42.2</v>
      </c>
      <c r="E5197" s="11"/>
      <c r="F5197" s="9"/>
    </row>
    <row r="5198" s="1" customFormat="1" customHeight="1" spans="1:6">
      <c r="A5198" s="9" t="str">
        <f>"10330517406"</f>
        <v>10330517406</v>
      </c>
      <c r="B5198" s="10">
        <v>37.99</v>
      </c>
      <c r="C5198" s="9"/>
      <c r="D5198" s="9">
        <f t="shared" si="81"/>
        <v>37.99</v>
      </c>
      <c r="E5198" s="11"/>
      <c r="F5198" s="9"/>
    </row>
    <row r="5199" s="1" customFormat="1" customHeight="1" spans="1:6">
      <c r="A5199" s="9" t="str">
        <f>"10480517407"</f>
        <v>10480517407</v>
      </c>
      <c r="B5199" s="10">
        <v>0</v>
      </c>
      <c r="C5199" s="9"/>
      <c r="D5199" s="9">
        <f t="shared" si="81"/>
        <v>0</v>
      </c>
      <c r="E5199" s="11"/>
      <c r="F5199" s="9" t="s">
        <v>7</v>
      </c>
    </row>
    <row r="5200" s="1" customFormat="1" customHeight="1" spans="1:6">
      <c r="A5200" s="9" t="str">
        <f>"10340517408"</f>
        <v>10340517408</v>
      </c>
      <c r="B5200" s="10">
        <v>40.12</v>
      </c>
      <c r="C5200" s="9"/>
      <c r="D5200" s="9">
        <f t="shared" si="81"/>
        <v>40.12</v>
      </c>
      <c r="E5200" s="11"/>
      <c r="F5200" s="9"/>
    </row>
    <row r="5201" s="1" customFormat="1" customHeight="1" spans="1:6">
      <c r="A5201" s="9" t="str">
        <f>"10360517409"</f>
        <v>10360517409</v>
      </c>
      <c r="B5201" s="10">
        <v>38.51</v>
      </c>
      <c r="C5201" s="9"/>
      <c r="D5201" s="9">
        <f t="shared" si="81"/>
        <v>38.51</v>
      </c>
      <c r="E5201" s="11"/>
      <c r="F5201" s="9"/>
    </row>
    <row r="5202" s="1" customFormat="1" customHeight="1" spans="1:6">
      <c r="A5202" s="9" t="str">
        <f>"10360517410"</f>
        <v>10360517410</v>
      </c>
      <c r="B5202" s="10">
        <v>0</v>
      </c>
      <c r="C5202" s="9"/>
      <c r="D5202" s="9">
        <f t="shared" si="81"/>
        <v>0</v>
      </c>
      <c r="E5202" s="11"/>
      <c r="F5202" s="9" t="s">
        <v>7</v>
      </c>
    </row>
    <row r="5203" s="1" customFormat="1" customHeight="1" spans="1:6">
      <c r="A5203" s="9" t="str">
        <f>"10110517411"</f>
        <v>10110517411</v>
      </c>
      <c r="B5203" s="10">
        <v>0</v>
      </c>
      <c r="C5203" s="9"/>
      <c r="D5203" s="9">
        <f t="shared" si="81"/>
        <v>0</v>
      </c>
      <c r="E5203" s="11"/>
      <c r="F5203" s="9" t="s">
        <v>7</v>
      </c>
    </row>
    <row r="5204" s="1" customFormat="1" customHeight="1" spans="1:6">
      <c r="A5204" s="9" t="str">
        <f>"10270517412"</f>
        <v>10270517412</v>
      </c>
      <c r="B5204" s="10">
        <v>37.7</v>
      </c>
      <c r="C5204" s="9"/>
      <c r="D5204" s="9">
        <f t="shared" si="81"/>
        <v>37.7</v>
      </c>
      <c r="E5204" s="11"/>
      <c r="F5204" s="9"/>
    </row>
    <row r="5205" s="1" customFormat="1" customHeight="1" spans="1:6">
      <c r="A5205" s="9" t="str">
        <f>"10210517413"</f>
        <v>10210517413</v>
      </c>
      <c r="B5205" s="10">
        <v>38.77</v>
      </c>
      <c r="C5205" s="9"/>
      <c r="D5205" s="9">
        <f t="shared" si="81"/>
        <v>38.77</v>
      </c>
      <c r="E5205" s="11"/>
      <c r="F5205" s="9"/>
    </row>
    <row r="5206" s="1" customFormat="1" customHeight="1" spans="1:6">
      <c r="A5206" s="9" t="str">
        <f>"10060517414"</f>
        <v>10060517414</v>
      </c>
      <c r="B5206" s="10">
        <v>31.46</v>
      </c>
      <c r="C5206" s="9"/>
      <c r="D5206" s="9">
        <f t="shared" si="81"/>
        <v>31.46</v>
      </c>
      <c r="E5206" s="11"/>
      <c r="F5206" s="9"/>
    </row>
    <row r="5207" s="1" customFormat="1" customHeight="1" spans="1:6">
      <c r="A5207" s="9" t="str">
        <f>"10300517415"</f>
        <v>10300517415</v>
      </c>
      <c r="B5207" s="10">
        <v>34.26</v>
      </c>
      <c r="C5207" s="9"/>
      <c r="D5207" s="9">
        <f t="shared" si="81"/>
        <v>34.26</v>
      </c>
      <c r="E5207" s="11"/>
      <c r="F5207" s="9"/>
    </row>
    <row r="5208" s="1" customFormat="1" customHeight="1" spans="1:6">
      <c r="A5208" s="9" t="str">
        <f>"10360517416"</f>
        <v>10360517416</v>
      </c>
      <c r="B5208" s="10">
        <v>0</v>
      </c>
      <c r="C5208" s="9"/>
      <c r="D5208" s="9">
        <f t="shared" si="81"/>
        <v>0</v>
      </c>
      <c r="E5208" s="11"/>
      <c r="F5208" s="9" t="s">
        <v>7</v>
      </c>
    </row>
    <row r="5209" s="1" customFormat="1" customHeight="1" spans="1:6">
      <c r="A5209" s="9" t="str">
        <f>"10310517417"</f>
        <v>10310517417</v>
      </c>
      <c r="B5209" s="10">
        <v>42.71</v>
      </c>
      <c r="C5209" s="9"/>
      <c r="D5209" s="9">
        <f t="shared" si="81"/>
        <v>42.71</v>
      </c>
      <c r="E5209" s="11"/>
      <c r="F5209" s="9"/>
    </row>
    <row r="5210" s="1" customFormat="1" customHeight="1" spans="1:6">
      <c r="A5210" s="9" t="str">
        <f>"10060517418"</f>
        <v>10060517418</v>
      </c>
      <c r="B5210" s="10">
        <v>37.04</v>
      </c>
      <c r="C5210" s="9"/>
      <c r="D5210" s="9">
        <f t="shared" si="81"/>
        <v>37.04</v>
      </c>
      <c r="E5210" s="11"/>
      <c r="F5210" s="9"/>
    </row>
    <row r="5211" s="1" customFormat="1" customHeight="1" spans="1:6">
      <c r="A5211" s="9" t="str">
        <f>"10360517419"</f>
        <v>10360517419</v>
      </c>
      <c r="B5211" s="10">
        <v>41.18</v>
      </c>
      <c r="C5211" s="9"/>
      <c r="D5211" s="9">
        <f t="shared" si="81"/>
        <v>41.18</v>
      </c>
      <c r="E5211" s="11"/>
      <c r="F5211" s="9"/>
    </row>
    <row r="5212" s="1" customFormat="1" customHeight="1" spans="1:6">
      <c r="A5212" s="9" t="str">
        <f>"10360517420"</f>
        <v>10360517420</v>
      </c>
      <c r="B5212" s="10">
        <v>0</v>
      </c>
      <c r="C5212" s="9"/>
      <c r="D5212" s="9">
        <f t="shared" si="81"/>
        <v>0</v>
      </c>
      <c r="E5212" s="11"/>
      <c r="F5212" s="9" t="s">
        <v>7</v>
      </c>
    </row>
    <row r="5213" s="1" customFormat="1" customHeight="1" spans="1:6">
      <c r="A5213" s="9" t="str">
        <f>"10370517421"</f>
        <v>10370517421</v>
      </c>
      <c r="B5213" s="10">
        <v>0</v>
      </c>
      <c r="C5213" s="9"/>
      <c r="D5213" s="9">
        <f t="shared" si="81"/>
        <v>0</v>
      </c>
      <c r="E5213" s="11"/>
      <c r="F5213" s="9" t="s">
        <v>7</v>
      </c>
    </row>
    <row r="5214" s="1" customFormat="1" customHeight="1" spans="1:6">
      <c r="A5214" s="9" t="str">
        <f>"10120517422"</f>
        <v>10120517422</v>
      </c>
      <c r="B5214" s="10">
        <v>0</v>
      </c>
      <c r="C5214" s="9"/>
      <c r="D5214" s="9">
        <f t="shared" si="81"/>
        <v>0</v>
      </c>
      <c r="E5214" s="11"/>
      <c r="F5214" s="9" t="s">
        <v>7</v>
      </c>
    </row>
    <row r="5215" s="1" customFormat="1" customHeight="1" spans="1:6">
      <c r="A5215" s="9" t="str">
        <f>"10520517423"</f>
        <v>10520517423</v>
      </c>
      <c r="B5215" s="10">
        <v>43.96</v>
      </c>
      <c r="C5215" s="9"/>
      <c r="D5215" s="9">
        <f t="shared" si="81"/>
        <v>43.96</v>
      </c>
      <c r="E5215" s="11"/>
      <c r="F5215" s="9"/>
    </row>
    <row r="5216" s="1" customFormat="1" customHeight="1" spans="1:6">
      <c r="A5216" s="9" t="str">
        <f>"10360517424"</f>
        <v>10360517424</v>
      </c>
      <c r="B5216" s="10">
        <v>0</v>
      </c>
      <c r="C5216" s="9"/>
      <c r="D5216" s="9">
        <f t="shared" si="81"/>
        <v>0</v>
      </c>
      <c r="E5216" s="11"/>
      <c r="F5216" s="9" t="s">
        <v>7</v>
      </c>
    </row>
    <row r="5217" s="1" customFormat="1" customHeight="1" spans="1:6">
      <c r="A5217" s="9" t="str">
        <f>"10360517425"</f>
        <v>10360517425</v>
      </c>
      <c r="B5217" s="10">
        <v>0</v>
      </c>
      <c r="C5217" s="9"/>
      <c r="D5217" s="9">
        <f t="shared" si="81"/>
        <v>0</v>
      </c>
      <c r="E5217" s="11"/>
      <c r="F5217" s="9" t="s">
        <v>7</v>
      </c>
    </row>
    <row r="5218" s="1" customFormat="1" customHeight="1" spans="1:6">
      <c r="A5218" s="9" t="str">
        <f>"10520517426"</f>
        <v>10520517426</v>
      </c>
      <c r="B5218" s="10">
        <v>52.55</v>
      </c>
      <c r="C5218" s="9"/>
      <c r="D5218" s="9">
        <f t="shared" si="81"/>
        <v>52.55</v>
      </c>
      <c r="E5218" s="11"/>
      <c r="F5218" s="9"/>
    </row>
    <row r="5219" s="1" customFormat="1" customHeight="1" spans="1:6">
      <c r="A5219" s="9" t="str">
        <f>"10360517427"</f>
        <v>10360517427</v>
      </c>
      <c r="B5219" s="10">
        <v>0</v>
      </c>
      <c r="C5219" s="9"/>
      <c r="D5219" s="9">
        <f t="shared" si="81"/>
        <v>0</v>
      </c>
      <c r="E5219" s="11"/>
      <c r="F5219" s="9" t="s">
        <v>7</v>
      </c>
    </row>
    <row r="5220" s="1" customFormat="1" customHeight="1" spans="1:6">
      <c r="A5220" s="9" t="str">
        <f>"10500517428"</f>
        <v>10500517428</v>
      </c>
      <c r="B5220" s="10">
        <v>30.2</v>
      </c>
      <c r="C5220" s="9"/>
      <c r="D5220" s="9">
        <f t="shared" si="81"/>
        <v>30.2</v>
      </c>
      <c r="E5220" s="11"/>
      <c r="F5220" s="9"/>
    </row>
    <row r="5221" s="1" customFormat="1" customHeight="1" spans="1:6">
      <c r="A5221" s="9" t="str">
        <f>"10360517429"</f>
        <v>10360517429</v>
      </c>
      <c r="B5221" s="10">
        <v>31.01</v>
      </c>
      <c r="C5221" s="9"/>
      <c r="D5221" s="9">
        <f t="shared" si="81"/>
        <v>31.01</v>
      </c>
      <c r="E5221" s="11"/>
      <c r="F5221" s="9"/>
    </row>
    <row r="5222" s="1" customFormat="1" customHeight="1" spans="1:6">
      <c r="A5222" s="9" t="str">
        <f>"10090517430"</f>
        <v>10090517430</v>
      </c>
      <c r="B5222" s="10">
        <v>39.88</v>
      </c>
      <c r="C5222" s="9"/>
      <c r="D5222" s="9">
        <f t="shared" si="81"/>
        <v>39.88</v>
      </c>
      <c r="E5222" s="11"/>
      <c r="F5222" s="9"/>
    </row>
    <row r="5223" s="1" customFormat="1" customHeight="1" spans="1:6">
      <c r="A5223" s="9" t="str">
        <f>"10530517501"</f>
        <v>10530517501</v>
      </c>
      <c r="B5223" s="10">
        <v>33.79</v>
      </c>
      <c r="C5223" s="9"/>
      <c r="D5223" s="9">
        <f t="shared" si="81"/>
        <v>33.79</v>
      </c>
      <c r="E5223" s="11"/>
      <c r="F5223" s="9"/>
    </row>
    <row r="5224" s="1" customFormat="1" customHeight="1" spans="1:6">
      <c r="A5224" s="9" t="str">
        <f>"10020517502"</f>
        <v>10020517502</v>
      </c>
      <c r="B5224" s="10">
        <v>33.79</v>
      </c>
      <c r="C5224" s="9"/>
      <c r="D5224" s="9">
        <f t="shared" si="81"/>
        <v>33.79</v>
      </c>
      <c r="E5224" s="11"/>
      <c r="F5224" s="9"/>
    </row>
    <row r="5225" s="1" customFormat="1" customHeight="1" spans="1:6">
      <c r="A5225" s="9" t="str">
        <f>"10460517503"</f>
        <v>10460517503</v>
      </c>
      <c r="B5225" s="10">
        <v>37.26</v>
      </c>
      <c r="C5225" s="9"/>
      <c r="D5225" s="9">
        <f t="shared" si="81"/>
        <v>37.26</v>
      </c>
      <c r="E5225" s="11"/>
      <c r="F5225" s="9"/>
    </row>
    <row r="5226" s="1" customFormat="1" customHeight="1" spans="1:6">
      <c r="A5226" s="9" t="str">
        <f>"10440517504"</f>
        <v>10440517504</v>
      </c>
      <c r="B5226" s="10">
        <v>37.56</v>
      </c>
      <c r="C5226" s="9"/>
      <c r="D5226" s="9">
        <f t="shared" si="81"/>
        <v>37.56</v>
      </c>
      <c r="E5226" s="11"/>
      <c r="F5226" s="9"/>
    </row>
    <row r="5227" s="1" customFormat="1" customHeight="1" spans="1:6">
      <c r="A5227" s="9" t="str">
        <f>"10360517505"</f>
        <v>10360517505</v>
      </c>
      <c r="B5227" s="10">
        <v>44.94</v>
      </c>
      <c r="C5227" s="9"/>
      <c r="D5227" s="9">
        <f t="shared" si="81"/>
        <v>44.94</v>
      </c>
      <c r="E5227" s="11"/>
      <c r="F5227" s="9"/>
    </row>
    <row r="5228" s="1" customFormat="1" customHeight="1" spans="1:6">
      <c r="A5228" s="9" t="str">
        <f>"10460517506"</f>
        <v>10460517506</v>
      </c>
      <c r="B5228" s="10">
        <v>39.76</v>
      </c>
      <c r="C5228" s="9"/>
      <c r="D5228" s="9">
        <f t="shared" si="81"/>
        <v>39.76</v>
      </c>
      <c r="E5228" s="11"/>
      <c r="F5228" s="9"/>
    </row>
    <row r="5229" s="1" customFormat="1" customHeight="1" spans="1:6">
      <c r="A5229" s="9" t="str">
        <f>"10030517507"</f>
        <v>10030517507</v>
      </c>
      <c r="B5229" s="10">
        <v>39.3</v>
      </c>
      <c r="C5229" s="9">
        <v>10</v>
      </c>
      <c r="D5229" s="9">
        <f t="shared" si="81"/>
        <v>49.3</v>
      </c>
      <c r="E5229" s="12" t="s">
        <v>8</v>
      </c>
      <c r="F5229" s="9"/>
    </row>
    <row r="5230" s="1" customFormat="1" customHeight="1" spans="1:6">
      <c r="A5230" s="9" t="str">
        <f>"10350517508"</f>
        <v>10350517508</v>
      </c>
      <c r="B5230" s="10">
        <v>0</v>
      </c>
      <c r="C5230" s="9"/>
      <c r="D5230" s="9">
        <f t="shared" si="81"/>
        <v>0</v>
      </c>
      <c r="E5230" s="11"/>
      <c r="F5230" s="9" t="s">
        <v>7</v>
      </c>
    </row>
    <row r="5231" s="1" customFormat="1" customHeight="1" spans="1:6">
      <c r="A5231" s="9" t="str">
        <f>"10520517509"</f>
        <v>10520517509</v>
      </c>
      <c r="B5231" s="10">
        <v>49.58</v>
      </c>
      <c r="C5231" s="9"/>
      <c r="D5231" s="9">
        <f t="shared" si="81"/>
        <v>49.58</v>
      </c>
      <c r="E5231" s="11"/>
      <c r="F5231" s="9"/>
    </row>
    <row r="5232" s="1" customFormat="1" customHeight="1" spans="1:6">
      <c r="A5232" s="9" t="str">
        <f>"10360517510"</f>
        <v>10360517510</v>
      </c>
      <c r="B5232" s="10">
        <v>37.75</v>
      </c>
      <c r="C5232" s="9"/>
      <c r="D5232" s="9">
        <f t="shared" si="81"/>
        <v>37.75</v>
      </c>
      <c r="E5232" s="11"/>
      <c r="F5232" s="9"/>
    </row>
    <row r="5233" s="1" customFormat="1" customHeight="1" spans="1:6">
      <c r="A5233" s="9" t="str">
        <f>"20270517511"</f>
        <v>20270517511</v>
      </c>
      <c r="B5233" s="10">
        <v>36.08</v>
      </c>
      <c r="C5233" s="9"/>
      <c r="D5233" s="9">
        <f t="shared" si="81"/>
        <v>36.08</v>
      </c>
      <c r="E5233" s="11"/>
      <c r="F5233" s="9"/>
    </row>
    <row r="5234" s="1" customFormat="1" customHeight="1" spans="1:6">
      <c r="A5234" s="9" t="str">
        <f>"10240517512"</f>
        <v>10240517512</v>
      </c>
      <c r="B5234" s="10">
        <v>46.18</v>
      </c>
      <c r="C5234" s="9"/>
      <c r="D5234" s="9">
        <f t="shared" si="81"/>
        <v>46.18</v>
      </c>
      <c r="E5234" s="11"/>
      <c r="F5234" s="9"/>
    </row>
    <row r="5235" s="1" customFormat="1" customHeight="1" spans="1:6">
      <c r="A5235" s="9" t="str">
        <f>"10080517513"</f>
        <v>10080517513</v>
      </c>
      <c r="B5235" s="10">
        <v>0</v>
      </c>
      <c r="C5235" s="9"/>
      <c r="D5235" s="9">
        <f t="shared" si="81"/>
        <v>0</v>
      </c>
      <c r="E5235" s="11"/>
      <c r="F5235" s="9" t="s">
        <v>7</v>
      </c>
    </row>
    <row r="5236" s="1" customFormat="1" customHeight="1" spans="1:6">
      <c r="A5236" s="9" t="str">
        <f>"10490517514"</f>
        <v>10490517514</v>
      </c>
      <c r="B5236" s="10">
        <v>39.53</v>
      </c>
      <c r="C5236" s="9"/>
      <c r="D5236" s="9">
        <f t="shared" si="81"/>
        <v>39.53</v>
      </c>
      <c r="E5236" s="11"/>
      <c r="F5236" s="9"/>
    </row>
    <row r="5237" s="1" customFormat="1" customHeight="1" spans="1:6">
      <c r="A5237" s="9" t="str">
        <f>"10280517515"</f>
        <v>10280517515</v>
      </c>
      <c r="B5237" s="10">
        <v>46.55</v>
      </c>
      <c r="C5237" s="9"/>
      <c r="D5237" s="9">
        <f t="shared" si="81"/>
        <v>46.55</v>
      </c>
      <c r="E5237" s="11"/>
      <c r="F5237" s="9"/>
    </row>
    <row r="5238" s="1" customFormat="1" customHeight="1" spans="1:6">
      <c r="A5238" s="9" t="str">
        <f>"10360517516"</f>
        <v>10360517516</v>
      </c>
      <c r="B5238" s="10">
        <v>0</v>
      </c>
      <c r="C5238" s="9"/>
      <c r="D5238" s="9">
        <f t="shared" si="81"/>
        <v>0</v>
      </c>
      <c r="E5238" s="11"/>
      <c r="F5238" s="9" t="s">
        <v>7</v>
      </c>
    </row>
    <row r="5239" s="1" customFormat="1" customHeight="1" spans="1:6">
      <c r="A5239" s="9" t="str">
        <f>"10370517517"</f>
        <v>10370517517</v>
      </c>
      <c r="B5239" s="10">
        <v>0</v>
      </c>
      <c r="C5239" s="9"/>
      <c r="D5239" s="9">
        <f t="shared" si="81"/>
        <v>0</v>
      </c>
      <c r="E5239" s="11"/>
      <c r="F5239" s="9" t="s">
        <v>7</v>
      </c>
    </row>
    <row r="5240" s="1" customFormat="1" customHeight="1" spans="1:6">
      <c r="A5240" s="9" t="str">
        <f>"10270517518"</f>
        <v>10270517518</v>
      </c>
      <c r="B5240" s="10">
        <v>0</v>
      </c>
      <c r="C5240" s="9"/>
      <c r="D5240" s="9">
        <f t="shared" si="81"/>
        <v>0</v>
      </c>
      <c r="E5240" s="11"/>
      <c r="F5240" s="9" t="s">
        <v>7</v>
      </c>
    </row>
    <row r="5241" s="1" customFormat="1" customHeight="1" spans="1:6">
      <c r="A5241" s="9" t="str">
        <f>"10360517519"</f>
        <v>10360517519</v>
      </c>
      <c r="B5241" s="10">
        <v>0</v>
      </c>
      <c r="C5241" s="9"/>
      <c r="D5241" s="9">
        <f t="shared" si="81"/>
        <v>0</v>
      </c>
      <c r="E5241" s="11"/>
      <c r="F5241" s="9" t="s">
        <v>7</v>
      </c>
    </row>
    <row r="5242" s="1" customFormat="1" customHeight="1" spans="1:6">
      <c r="A5242" s="9" t="str">
        <f>"10360517520"</f>
        <v>10360517520</v>
      </c>
      <c r="B5242" s="10">
        <v>39.99</v>
      </c>
      <c r="C5242" s="9"/>
      <c r="D5242" s="9">
        <f t="shared" si="81"/>
        <v>39.99</v>
      </c>
      <c r="E5242" s="11"/>
      <c r="F5242" s="9"/>
    </row>
    <row r="5243" s="1" customFormat="1" customHeight="1" spans="1:6">
      <c r="A5243" s="9" t="str">
        <f>"10320517521"</f>
        <v>10320517521</v>
      </c>
      <c r="B5243" s="10">
        <v>43.37</v>
      </c>
      <c r="C5243" s="9"/>
      <c r="D5243" s="9">
        <f t="shared" si="81"/>
        <v>43.37</v>
      </c>
      <c r="E5243" s="11"/>
      <c r="F5243" s="9"/>
    </row>
    <row r="5244" s="1" customFormat="1" customHeight="1" spans="1:6">
      <c r="A5244" s="9" t="str">
        <f>"10360517522"</f>
        <v>10360517522</v>
      </c>
      <c r="B5244" s="10">
        <v>36.58</v>
      </c>
      <c r="C5244" s="9"/>
      <c r="D5244" s="9">
        <f t="shared" si="81"/>
        <v>36.58</v>
      </c>
      <c r="E5244" s="11"/>
      <c r="F5244" s="9"/>
    </row>
    <row r="5245" s="1" customFormat="1" customHeight="1" spans="1:6">
      <c r="A5245" s="9" t="str">
        <f>"10360517523"</f>
        <v>10360517523</v>
      </c>
      <c r="B5245" s="10">
        <v>39.96</v>
      </c>
      <c r="C5245" s="9"/>
      <c r="D5245" s="9">
        <f t="shared" si="81"/>
        <v>39.96</v>
      </c>
      <c r="E5245" s="11"/>
      <c r="F5245" s="9"/>
    </row>
    <row r="5246" s="1" customFormat="1" customHeight="1" spans="1:6">
      <c r="A5246" s="9" t="str">
        <f>"10290517524"</f>
        <v>10290517524</v>
      </c>
      <c r="B5246" s="10">
        <v>43.55</v>
      </c>
      <c r="C5246" s="9"/>
      <c r="D5246" s="9">
        <f t="shared" si="81"/>
        <v>43.55</v>
      </c>
      <c r="E5246" s="11"/>
      <c r="F5246" s="9"/>
    </row>
    <row r="5247" s="1" customFormat="1" customHeight="1" spans="1:6">
      <c r="A5247" s="9" t="str">
        <f>"10330517525"</f>
        <v>10330517525</v>
      </c>
      <c r="B5247" s="10">
        <v>34.13</v>
      </c>
      <c r="C5247" s="9"/>
      <c r="D5247" s="9">
        <f t="shared" si="81"/>
        <v>34.13</v>
      </c>
      <c r="E5247" s="11"/>
      <c r="F5247" s="9"/>
    </row>
    <row r="5248" s="1" customFormat="1" customHeight="1" spans="1:6">
      <c r="A5248" s="9" t="str">
        <f>"10360517526"</f>
        <v>10360517526</v>
      </c>
      <c r="B5248" s="10">
        <v>37.5</v>
      </c>
      <c r="C5248" s="9"/>
      <c r="D5248" s="9">
        <f t="shared" si="81"/>
        <v>37.5</v>
      </c>
      <c r="E5248" s="11"/>
      <c r="F5248" s="9"/>
    </row>
    <row r="5249" s="1" customFormat="1" customHeight="1" spans="1:6">
      <c r="A5249" s="9" t="str">
        <f>"10360517527"</f>
        <v>10360517527</v>
      </c>
      <c r="B5249" s="10">
        <v>0</v>
      </c>
      <c r="C5249" s="9"/>
      <c r="D5249" s="9">
        <f t="shared" si="81"/>
        <v>0</v>
      </c>
      <c r="E5249" s="11"/>
      <c r="F5249" s="9" t="s">
        <v>7</v>
      </c>
    </row>
    <row r="5250" s="1" customFormat="1" customHeight="1" spans="1:6">
      <c r="A5250" s="9" t="str">
        <f>"10360517528"</f>
        <v>10360517528</v>
      </c>
      <c r="B5250" s="10">
        <v>0</v>
      </c>
      <c r="C5250" s="9"/>
      <c r="D5250" s="9">
        <f t="shared" si="81"/>
        <v>0</v>
      </c>
      <c r="E5250" s="11"/>
      <c r="F5250" s="9" t="s">
        <v>7</v>
      </c>
    </row>
    <row r="5251" s="1" customFormat="1" customHeight="1" spans="1:6">
      <c r="A5251" s="9" t="str">
        <f>"10330517529"</f>
        <v>10330517529</v>
      </c>
      <c r="B5251" s="10">
        <v>0</v>
      </c>
      <c r="C5251" s="9"/>
      <c r="D5251" s="9">
        <f t="shared" ref="D5251:D5314" si="82">SUM(B5251:C5251)</f>
        <v>0</v>
      </c>
      <c r="E5251" s="11"/>
      <c r="F5251" s="9" t="s">
        <v>7</v>
      </c>
    </row>
    <row r="5252" s="1" customFormat="1" customHeight="1" spans="1:6">
      <c r="A5252" s="9" t="str">
        <f>"10210517530"</f>
        <v>10210517530</v>
      </c>
      <c r="B5252" s="10">
        <v>0</v>
      </c>
      <c r="C5252" s="9"/>
      <c r="D5252" s="9">
        <f t="shared" si="82"/>
        <v>0</v>
      </c>
      <c r="E5252" s="11"/>
      <c r="F5252" s="9" t="s">
        <v>7</v>
      </c>
    </row>
    <row r="5253" s="1" customFormat="1" customHeight="1" spans="1:6">
      <c r="A5253" s="9" t="str">
        <f>"10530517601"</f>
        <v>10530517601</v>
      </c>
      <c r="B5253" s="10">
        <v>25.77</v>
      </c>
      <c r="C5253" s="9"/>
      <c r="D5253" s="9">
        <f t="shared" si="82"/>
        <v>25.77</v>
      </c>
      <c r="E5253" s="11"/>
      <c r="F5253" s="9"/>
    </row>
    <row r="5254" s="1" customFormat="1" customHeight="1" spans="1:6">
      <c r="A5254" s="9" t="str">
        <f>"10110517602"</f>
        <v>10110517602</v>
      </c>
      <c r="B5254" s="10">
        <v>0</v>
      </c>
      <c r="C5254" s="9"/>
      <c r="D5254" s="9">
        <f t="shared" si="82"/>
        <v>0</v>
      </c>
      <c r="E5254" s="11"/>
      <c r="F5254" s="9" t="s">
        <v>7</v>
      </c>
    </row>
    <row r="5255" s="1" customFormat="1" customHeight="1" spans="1:6">
      <c r="A5255" s="9" t="str">
        <f>"10300517603"</f>
        <v>10300517603</v>
      </c>
      <c r="B5255" s="10">
        <v>41.35</v>
      </c>
      <c r="C5255" s="9"/>
      <c r="D5255" s="9">
        <f t="shared" si="82"/>
        <v>41.35</v>
      </c>
      <c r="E5255" s="11"/>
      <c r="F5255" s="9"/>
    </row>
    <row r="5256" s="1" customFormat="1" customHeight="1" spans="1:6">
      <c r="A5256" s="9" t="str">
        <f>"10360517604"</f>
        <v>10360517604</v>
      </c>
      <c r="B5256" s="10">
        <v>0</v>
      </c>
      <c r="C5256" s="9"/>
      <c r="D5256" s="9">
        <f t="shared" si="82"/>
        <v>0</v>
      </c>
      <c r="E5256" s="11"/>
      <c r="F5256" s="9" t="s">
        <v>7</v>
      </c>
    </row>
    <row r="5257" s="1" customFormat="1" customHeight="1" spans="1:6">
      <c r="A5257" s="9" t="str">
        <f>"10530517605"</f>
        <v>10530517605</v>
      </c>
      <c r="B5257" s="10">
        <v>31.04</v>
      </c>
      <c r="C5257" s="9">
        <v>10</v>
      </c>
      <c r="D5257" s="9">
        <f t="shared" si="82"/>
        <v>41.04</v>
      </c>
      <c r="E5257" s="12" t="s">
        <v>8</v>
      </c>
      <c r="F5257" s="9"/>
    </row>
    <row r="5258" s="1" customFormat="1" customHeight="1" spans="1:6">
      <c r="A5258" s="9" t="str">
        <f>"10530517606"</f>
        <v>10530517606</v>
      </c>
      <c r="B5258" s="10">
        <v>0</v>
      </c>
      <c r="C5258" s="9"/>
      <c r="D5258" s="9">
        <f t="shared" si="82"/>
        <v>0</v>
      </c>
      <c r="E5258" s="11"/>
      <c r="F5258" s="9" t="s">
        <v>7</v>
      </c>
    </row>
    <row r="5259" s="1" customFormat="1" customHeight="1" spans="1:6">
      <c r="A5259" s="9" t="str">
        <f>"10530517607"</f>
        <v>10530517607</v>
      </c>
      <c r="B5259" s="10">
        <v>0</v>
      </c>
      <c r="C5259" s="9"/>
      <c r="D5259" s="9">
        <f t="shared" si="82"/>
        <v>0</v>
      </c>
      <c r="E5259" s="11"/>
      <c r="F5259" s="9" t="s">
        <v>7</v>
      </c>
    </row>
    <row r="5260" s="1" customFormat="1" customHeight="1" spans="1:6">
      <c r="A5260" s="9" t="str">
        <f>"10360517608"</f>
        <v>10360517608</v>
      </c>
      <c r="B5260" s="10">
        <v>0</v>
      </c>
      <c r="C5260" s="9"/>
      <c r="D5260" s="9">
        <f t="shared" si="82"/>
        <v>0</v>
      </c>
      <c r="E5260" s="11"/>
      <c r="F5260" s="9" t="s">
        <v>7</v>
      </c>
    </row>
    <row r="5261" s="1" customFormat="1" customHeight="1" spans="1:6">
      <c r="A5261" s="9" t="str">
        <f>"10530517609"</f>
        <v>10530517609</v>
      </c>
      <c r="B5261" s="10">
        <v>0</v>
      </c>
      <c r="C5261" s="9"/>
      <c r="D5261" s="9">
        <f t="shared" si="82"/>
        <v>0</v>
      </c>
      <c r="E5261" s="11"/>
      <c r="F5261" s="9" t="s">
        <v>7</v>
      </c>
    </row>
    <row r="5262" s="1" customFormat="1" customHeight="1" spans="1:6">
      <c r="A5262" s="9" t="str">
        <f>"10450517610"</f>
        <v>10450517610</v>
      </c>
      <c r="B5262" s="10">
        <v>0</v>
      </c>
      <c r="C5262" s="9"/>
      <c r="D5262" s="9">
        <f t="shared" si="82"/>
        <v>0</v>
      </c>
      <c r="E5262" s="11"/>
      <c r="F5262" s="9" t="s">
        <v>7</v>
      </c>
    </row>
    <row r="5263" s="1" customFormat="1" customHeight="1" spans="1:6">
      <c r="A5263" s="9" t="str">
        <f>"10070517611"</f>
        <v>10070517611</v>
      </c>
      <c r="B5263" s="10">
        <v>42.94</v>
      </c>
      <c r="C5263" s="9"/>
      <c r="D5263" s="9">
        <f t="shared" si="82"/>
        <v>42.94</v>
      </c>
      <c r="E5263" s="11"/>
      <c r="F5263" s="9"/>
    </row>
    <row r="5264" s="1" customFormat="1" customHeight="1" spans="1:6">
      <c r="A5264" s="9" t="str">
        <f>"10300517612"</f>
        <v>10300517612</v>
      </c>
      <c r="B5264" s="10">
        <v>0</v>
      </c>
      <c r="C5264" s="9"/>
      <c r="D5264" s="9">
        <f t="shared" si="82"/>
        <v>0</v>
      </c>
      <c r="E5264" s="11"/>
      <c r="F5264" s="9" t="s">
        <v>7</v>
      </c>
    </row>
    <row r="5265" s="1" customFormat="1" customHeight="1" spans="1:6">
      <c r="A5265" s="9" t="str">
        <f>"10360517613"</f>
        <v>10360517613</v>
      </c>
      <c r="B5265" s="10">
        <v>38.66</v>
      </c>
      <c r="C5265" s="9"/>
      <c r="D5265" s="9">
        <f t="shared" si="82"/>
        <v>38.66</v>
      </c>
      <c r="E5265" s="11"/>
      <c r="F5265" s="9"/>
    </row>
    <row r="5266" s="1" customFormat="1" customHeight="1" spans="1:6">
      <c r="A5266" s="9" t="str">
        <f>"10190517614"</f>
        <v>10190517614</v>
      </c>
      <c r="B5266" s="10">
        <v>46.64</v>
      </c>
      <c r="C5266" s="9"/>
      <c r="D5266" s="9">
        <f t="shared" si="82"/>
        <v>46.64</v>
      </c>
      <c r="E5266" s="11"/>
      <c r="F5266" s="9"/>
    </row>
    <row r="5267" s="1" customFormat="1" customHeight="1" spans="1:6">
      <c r="A5267" s="9" t="str">
        <f>"10360517615"</f>
        <v>10360517615</v>
      </c>
      <c r="B5267" s="10">
        <v>50.77</v>
      </c>
      <c r="C5267" s="9"/>
      <c r="D5267" s="9">
        <f t="shared" si="82"/>
        <v>50.77</v>
      </c>
      <c r="E5267" s="11"/>
      <c r="F5267" s="9"/>
    </row>
    <row r="5268" s="1" customFormat="1" customHeight="1" spans="1:6">
      <c r="A5268" s="9" t="str">
        <f>"10380517616"</f>
        <v>10380517616</v>
      </c>
      <c r="B5268" s="10">
        <v>24.74</v>
      </c>
      <c r="C5268" s="9"/>
      <c r="D5268" s="9">
        <f t="shared" si="82"/>
        <v>24.74</v>
      </c>
      <c r="E5268" s="11"/>
      <c r="F5268" s="9"/>
    </row>
    <row r="5269" s="1" customFormat="1" customHeight="1" spans="1:6">
      <c r="A5269" s="9" t="str">
        <f>"10180517617"</f>
        <v>10180517617</v>
      </c>
      <c r="B5269" s="10">
        <v>43.67</v>
      </c>
      <c r="C5269" s="9"/>
      <c r="D5269" s="9">
        <f t="shared" si="82"/>
        <v>43.67</v>
      </c>
      <c r="E5269" s="11"/>
      <c r="F5269" s="9"/>
    </row>
    <row r="5270" s="1" customFormat="1" customHeight="1" spans="1:6">
      <c r="A5270" s="9" t="str">
        <f>"10520517618"</f>
        <v>10520517618</v>
      </c>
      <c r="B5270" s="10">
        <v>45.24</v>
      </c>
      <c r="C5270" s="9"/>
      <c r="D5270" s="9">
        <f t="shared" si="82"/>
        <v>45.24</v>
      </c>
      <c r="E5270" s="11"/>
      <c r="F5270" s="9"/>
    </row>
    <row r="5271" s="1" customFormat="1" customHeight="1" spans="1:6">
      <c r="A5271" s="9" t="str">
        <f>"10360517619"</f>
        <v>10360517619</v>
      </c>
      <c r="B5271" s="10">
        <v>41.51</v>
      </c>
      <c r="C5271" s="9"/>
      <c r="D5271" s="9">
        <f t="shared" si="82"/>
        <v>41.51</v>
      </c>
      <c r="E5271" s="11"/>
      <c r="F5271" s="9"/>
    </row>
    <row r="5272" s="1" customFormat="1" customHeight="1" spans="1:6">
      <c r="A5272" s="9" t="str">
        <f>"10130517620"</f>
        <v>10130517620</v>
      </c>
      <c r="B5272" s="10">
        <v>0</v>
      </c>
      <c r="C5272" s="9"/>
      <c r="D5272" s="9">
        <f t="shared" si="82"/>
        <v>0</v>
      </c>
      <c r="E5272" s="11"/>
      <c r="F5272" s="9" t="s">
        <v>7</v>
      </c>
    </row>
    <row r="5273" s="1" customFormat="1" customHeight="1" spans="1:6">
      <c r="A5273" s="9" t="str">
        <f>"10520517621"</f>
        <v>10520517621</v>
      </c>
      <c r="B5273" s="10">
        <v>40.04</v>
      </c>
      <c r="C5273" s="9"/>
      <c r="D5273" s="9">
        <f t="shared" si="82"/>
        <v>40.04</v>
      </c>
      <c r="E5273" s="11"/>
      <c r="F5273" s="9"/>
    </row>
    <row r="5274" s="1" customFormat="1" customHeight="1" spans="1:6">
      <c r="A5274" s="9" t="str">
        <f>"10490517622"</f>
        <v>10490517622</v>
      </c>
      <c r="B5274" s="10">
        <v>44.72</v>
      </c>
      <c r="C5274" s="9"/>
      <c r="D5274" s="9">
        <f t="shared" si="82"/>
        <v>44.72</v>
      </c>
      <c r="E5274" s="11"/>
      <c r="F5274" s="9"/>
    </row>
    <row r="5275" s="1" customFormat="1" customHeight="1" spans="1:6">
      <c r="A5275" s="9" t="str">
        <f>"10360517623"</f>
        <v>10360517623</v>
      </c>
      <c r="B5275" s="10">
        <v>35.3</v>
      </c>
      <c r="C5275" s="9"/>
      <c r="D5275" s="9">
        <f t="shared" si="82"/>
        <v>35.3</v>
      </c>
      <c r="E5275" s="11"/>
      <c r="F5275" s="9"/>
    </row>
    <row r="5276" s="1" customFormat="1" customHeight="1" spans="1:6">
      <c r="A5276" s="9" t="str">
        <f>"10410517624"</f>
        <v>10410517624</v>
      </c>
      <c r="B5276" s="10">
        <v>42.64</v>
      </c>
      <c r="C5276" s="9"/>
      <c r="D5276" s="9">
        <f t="shared" si="82"/>
        <v>42.64</v>
      </c>
      <c r="E5276" s="11"/>
      <c r="F5276" s="9"/>
    </row>
    <row r="5277" s="1" customFormat="1" customHeight="1" spans="1:6">
      <c r="A5277" s="9" t="str">
        <f>"10360517625"</f>
        <v>10360517625</v>
      </c>
      <c r="B5277" s="10">
        <v>0</v>
      </c>
      <c r="C5277" s="9"/>
      <c r="D5277" s="9">
        <f t="shared" si="82"/>
        <v>0</v>
      </c>
      <c r="E5277" s="11"/>
      <c r="F5277" s="9" t="s">
        <v>7</v>
      </c>
    </row>
    <row r="5278" s="1" customFormat="1" customHeight="1" spans="1:6">
      <c r="A5278" s="9" t="str">
        <f>"10210517626"</f>
        <v>10210517626</v>
      </c>
      <c r="B5278" s="10">
        <v>0</v>
      </c>
      <c r="C5278" s="9"/>
      <c r="D5278" s="9">
        <f t="shared" si="82"/>
        <v>0</v>
      </c>
      <c r="E5278" s="11"/>
      <c r="F5278" s="9" t="s">
        <v>7</v>
      </c>
    </row>
    <row r="5279" s="1" customFormat="1" customHeight="1" spans="1:6">
      <c r="A5279" s="9" t="str">
        <f>"10300517627"</f>
        <v>10300517627</v>
      </c>
      <c r="B5279" s="10">
        <v>0</v>
      </c>
      <c r="C5279" s="9"/>
      <c r="D5279" s="9">
        <f t="shared" si="82"/>
        <v>0</v>
      </c>
      <c r="E5279" s="11"/>
      <c r="F5279" s="9" t="s">
        <v>7</v>
      </c>
    </row>
    <row r="5280" s="1" customFormat="1" customHeight="1" spans="1:6">
      <c r="A5280" s="9" t="str">
        <f>"10290517628"</f>
        <v>10290517628</v>
      </c>
      <c r="B5280" s="10">
        <v>0</v>
      </c>
      <c r="C5280" s="9"/>
      <c r="D5280" s="9">
        <f t="shared" si="82"/>
        <v>0</v>
      </c>
      <c r="E5280" s="11"/>
      <c r="F5280" s="9" t="s">
        <v>7</v>
      </c>
    </row>
    <row r="5281" s="1" customFormat="1" customHeight="1" spans="1:6">
      <c r="A5281" s="9" t="str">
        <f>"10360517629"</f>
        <v>10360517629</v>
      </c>
      <c r="B5281" s="10">
        <v>53.07</v>
      </c>
      <c r="C5281" s="9"/>
      <c r="D5281" s="9">
        <f t="shared" si="82"/>
        <v>53.07</v>
      </c>
      <c r="E5281" s="11"/>
      <c r="F5281" s="9"/>
    </row>
    <row r="5282" s="1" customFormat="1" customHeight="1" spans="1:6">
      <c r="A5282" s="9" t="str">
        <f>"10360517630"</f>
        <v>10360517630</v>
      </c>
      <c r="B5282" s="10">
        <v>34.52</v>
      </c>
      <c r="C5282" s="9"/>
      <c r="D5282" s="9">
        <f t="shared" si="82"/>
        <v>34.52</v>
      </c>
      <c r="E5282" s="11"/>
      <c r="F5282" s="9"/>
    </row>
    <row r="5283" s="1" customFormat="1" customHeight="1" spans="1:6">
      <c r="A5283" s="9" t="str">
        <f>"10300517701"</f>
        <v>10300517701</v>
      </c>
      <c r="B5283" s="10">
        <v>44.22</v>
      </c>
      <c r="C5283" s="9"/>
      <c r="D5283" s="9">
        <f t="shared" si="82"/>
        <v>44.22</v>
      </c>
      <c r="E5283" s="11"/>
      <c r="F5283" s="9"/>
    </row>
    <row r="5284" s="1" customFormat="1" customHeight="1" spans="1:6">
      <c r="A5284" s="9" t="str">
        <f>"10410517702"</f>
        <v>10410517702</v>
      </c>
      <c r="B5284" s="10">
        <v>0</v>
      </c>
      <c r="C5284" s="9"/>
      <c r="D5284" s="9">
        <f t="shared" si="82"/>
        <v>0</v>
      </c>
      <c r="E5284" s="11"/>
      <c r="F5284" s="9" t="s">
        <v>7</v>
      </c>
    </row>
    <row r="5285" s="1" customFormat="1" customHeight="1" spans="1:6">
      <c r="A5285" s="9" t="str">
        <f>"10360517703"</f>
        <v>10360517703</v>
      </c>
      <c r="B5285" s="10">
        <v>44.71</v>
      </c>
      <c r="C5285" s="9"/>
      <c r="D5285" s="9">
        <f t="shared" si="82"/>
        <v>44.71</v>
      </c>
      <c r="E5285" s="11"/>
      <c r="F5285" s="9"/>
    </row>
    <row r="5286" s="1" customFormat="1" customHeight="1" spans="1:6">
      <c r="A5286" s="9" t="str">
        <f>"10070517704"</f>
        <v>10070517704</v>
      </c>
      <c r="B5286" s="10">
        <v>0</v>
      </c>
      <c r="C5286" s="9"/>
      <c r="D5286" s="9">
        <f t="shared" si="82"/>
        <v>0</v>
      </c>
      <c r="E5286" s="11"/>
      <c r="F5286" s="9" t="s">
        <v>7</v>
      </c>
    </row>
    <row r="5287" s="1" customFormat="1" customHeight="1" spans="1:6">
      <c r="A5287" s="9" t="str">
        <f>"10080517705"</f>
        <v>10080517705</v>
      </c>
      <c r="B5287" s="10">
        <v>36.35</v>
      </c>
      <c r="C5287" s="9"/>
      <c r="D5287" s="9">
        <f t="shared" si="82"/>
        <v>36.35</v>
      </c>
      <c r="E5287" s="11"/>
      <c r="F5287" s="9"/>
    </row>
    <row r="5288" s="1" customFormat="1" customHeight="1" spans="1:6">
      <c r="A5288" s="9" t="str">
        <f>"10180517706"</f>
        <v>10180517706</v>
      </c>
      <c r="B5288" s="10">
        <v>35.1</v>
      </c>
      <c r="C5288" s="9"/>
      <c r="D5288" s="9">
        <f t="shared" si="82"/>
        <v>35.1</v>
      </c>
      <c r="E5288" s="11"/>
      <c r="F5288" s="9"/>
    </row>
    <row r="5289" s="1" customFormat="1" customHeight="1" spans="1:6">
      <c r="A5289" s="9" t="str">
        <f>"10330517707"</f>
        <v>10330517707</v>
      </c>
      <c r="B5289" s="10">
        <v>33.16</v>
      </c>
      <c r="C5289" s="9"/>
      <c r="D5289" s="9">
        <f t="shared" si="82"/>
        <v>33.16</v>
      </c>
      <c r="E5289" s="11"/>
      <c r="F5289" s="9"/>
    </row>
    <row r="5290" s="1" customFormat="1" customHeight="1" spans="1:6">
      <c r="A5290" s="9" t="str">
        <f>"10530517708"</f>
        <v>10530517708</v>
      </c>
      <c r="B5290" s="10">
        <v>0</v>
      </c>
      <c r="C5290" s="9"/>
      <c r="D5290" s="9">
        <f t="shared" si="82"/>
        <v>0</v>
      </c>
      <c r="E5290" s="11"/>
      <c r="F5290" s="9" t="s">
        <v>7</v>
      </c>
    </row>
    <row r="5291" s="1" customFormat="1" customHeight="1" spans="1:6">
      <c r="A5291" s="9" t="str">
        <f>"10500517709"</f>
        <v>10500517709</v>
      </c>
      <c r="B5291" s="10">
        <v>41.83</v>
      </c>
      <c r="C5291" s="9"/>
      <c r="D5291" s="9">
        <f t="shared" si="82"/>
        <v>41.83</v>
      </c>
      <c r="E5291" s="11"/>
      <c r="F5291" s="9"/>
    </row>
    <row r="5292" s="1" customFormat="1" customHeight="1" spans="1:6">
      <c r="A5292" s="9" t="str">
        <f>"10500517710"</f>
        <v>10500517710</v>
      </c>
      <c r="B5292" s="10">
        <v>0</v>
      </c>
      <c r="C5292" s="9"/>
      <c r="D5292" s="9">
        <f t="shared" si="82"/>
        <v>0</v>
      </c>
      <c r="E5292" s="11"/>
      <c r="F5292" s="9" t="s">
        <v>7</v>
      </c>
    </row>
    <row r="5293" s="1" customFormat="1" customHeight="1" spans="1:6">
      <c r="A5293" s="9" t="str">
        <f>"10300517711"</f>
        <v>10300517711</v>
      </c>
      <c r="B5293" s="10">
        <v>33.26</v>
      </c>
      <c r="C5293" s="9"/>
      <c r="D5293" s="9">
        <f t="shared" si="82"/>
        <v>33.26</v>
      </c>
      <c r="E5293" s="11"/>
      <c r="F5293" s="9"/>
    </row>
    <row r="5294" s="1" customFormat="1" customHeight="1" spans="1:6">
      <c r="A5294" s="9" t="str">
        <f>"10440517712"</f>
        <v>10440517712</v>
      </c>
      <c r="B5294" s="10">
        <v>43.26</v>
      </c>
      <c r="C5294" s="9"/>
      <c r="D5294" s="9">
        <f t="shared" si="82"/>
        <v>43.26</v>
      </c>
      <c r="E5294" s="11"/>
      <c r="F5294" s="9"/>
    </row>
    <row r="5295" s="1" customFormat="1" customHeight="1" spans="1:6">
      <c r="A5295" s="9" t="str">
        <f>"10530517713"</f>
        <v>10530517713</v>
      </c>
      <c r="B5295" s="10">
        <v>43.83</v>
      </c>
      <c r="C5295" s="9"/>
      <c r="D5295" s="9">
        <f t="shared" si="82"/>
        <v>43.83</v>
      </c>
      <c r="E5295" s="11"/>
      <c r="F5295" s="9"/>
    </row>
    <row r="5296" s="1" customFormat="1" customHeight="1" spans="1:6">
      <c r="A5296" s="9" t="str">
        <f>"10240517714"</f>
        <v>10240517714</v>
      </c>
      <c r="B5296" s="10">
        <v>48.73</v>
      </c>
      <c r="C5296" s="9"/>
      <c r="D5296" s="9">
        <f t="shared" si="82"/>
        <v>48.73</v>
      </c>
      <c r="E5296" s="11"/>
      <c r="F5296" s="9"/>
    </row>
    <row r="5297" s="1" customFormat="1" customHeight="1" spans="1:6">
      <c r="A5297" s="9" t="str">
        <f>"10360517715"</f>
        <v>10360517715</v>
      </c>
      <c r="B5297" s="10">
        <v>0</v>
      </c>
      <c r="C5297" s="9"/>
      <c r="D5297" s="9">
        <f t="shared" si="82"/>
        <v>0</v>
      </c>
      <c r="E5297" s="11"/>
      <c r="F5297" s="9" t="s">
        <v>7</v>
      </c>
    </row>
    <row r="5298" s="1" customFormat="1" customHeight="1" spans="1:6">
      <c r="A5298" s="9" t="str">
        <f>"10440517716"</f>
        <v>10440517716</v>
      </c>
      <c r="B5298" s="10">
        <v>41.85</v>
      </c>
      <c r="C5298" s="9"/>
      <c r="D5298" s="9">
        <f t="shared" si="82"/>
        <v>41.85</v>
      </c>
      <c r="E5298" s="11"/>
      <c r="F5298" s="9"/>
    </row>
    <row r="5299" s="1" customFormat="1" customHeight="1" spans="1:6">
      <c r="A5299" s="9" t="str">
        <f>"10210517717"</f>
        <v>10210517717</v>
      </c>
      <c r="B5299" s="10">
        <v>0</v>
      </c>
      <c r="C5299" s="9"/>
      <c r="D5299" s="9">
        <f t="shared" si="82"/>
        <v>0</v>
      </c>
      <c r="E5299" s="11"/>
      <c r="F5299" s="9" t="s">
        <v>7</v>
      </c>
    </row>
    <row r="5300" s="1" customFormat="1" customHeight="1" spans="1:6">
      <c r="A5300" s="9" t="str">
        <f>"10360517718"</f>
        <v>10360517718</v>
      </c>
      <c r="B5300" s="10">
        <v>52.24</v>
      </c>
      <c r="C5300" s="9"/>
      <c r="D5300" s="9">
        <f t="shared" si="82"/>
        <v>52.24</v>
      </c>
      <c r="E5300" s="11"/>
      <c r="F5300" s="9"/>
    </row>
    <row r="5301" s="1" customFormat="1" customHeight="1" spans="1:6">
      <c r="A5301" s="9" t="str">
        <f>"10110517719"</f>
        <v>10110517719</v>
      </c>
      <c r="B5301" s="10">
        <v>43.55</v>
      </c>
      <c r="C5301" s="9"/>
      <c r="D5301" s="9">
        <f t="shared" si="82"/>
        <v>43.55</v>
      </c>
      <c r="E5301" s="11"/>
      <c r="F5301" s="9"/>
    </row>
    <row r="5302" s="1" customFormat="1" customHeight="1" spans="1:6">
      <c r="A5302" s="9" t="str">
        <f>"10430517720"</f>
        <v>10430517720</v>
      </c>
      <c r="B5302" s="10">
        <v>43.41</v>
      </c>
      <c r="C5302" s="9"/>
      <c r="D5302" s="9">
        <f t="shared" si="82"/>
        <v>43.41</v>
      </c>
      <c r="E5302" s="11"/>
      <c r="F5302" s="9"/>
    </row>
    <row r="5303" s="1" customFormat="1" customHeight="1" spans="1:6">
      <c r="A5303" s="9" t="str">
        <f>"10510517721"</f>
        <v>10510517721</v>
      </c>
      <c r="B5303" s="10">
        <v>0</v>
      </c>
      <c r="C5303" s="9"/>
      <c r="D5303" s="9">
        <f t="shared" si="82"/>
        <v>0</v>
      </c>
      <c r="E5303" s="11"/>
      <c r="F5303" s="9" t="s">
        <v>7</v>
      </c>
    </row>
    <row r="5304" s="1" customFormat="1" customHeight="1" spans="1:6">
      <c r="A5304" s="9" t="str">
        <f>"10060517722"</f>
        <v>10060517722</v>
      </c>
      <c r="B5304" s="10">
        <v>42.69</v>
      </c>
      <c r="C5304" s="9"/>
      <c r="D5304" s="9">
        <f t="shared" si="82"/>
        <v>42.69</v>
      </c>
      <c r="E5304" s="11"/>
      <c r="F5304" s="9"/>
    </row>
    <row r="5305" s="1" customFormat="1" customHeight="1" spans="1:6">
      <c r="A5305" s="9" t="str">
        <f>"10360517723"</f>
        <v>10360517723</v>
      </c>
      <c r="B5305" s="10">
        <v>37.27</v>
      </c>
      <c r="C5305" s="9"/>
      <c r="D5305" s="9">
        <f t="shared" si="82"/>
        <v>37.27</v>
      </c>
      <c r="E5305" s="11"/>
      <c r="F5305" s="9"/>
    </row>
    <row r="5306" s="1" customFormat="1" customHeight="1" spans="1:6">
      <c r="A5306" s="9" t="str">
        <f>"10360517724"</f>
        <v>10360517724</v>
      </c>
      <c r="B5306" s="10">
        <v>37.77</v>
      </c>
      <c r="C5306" s="9"/>
      <c r="D5306" s="9">
        <f t="shared" si="82"/>
        <v>37.77</v>
      </c>
      <c r="E5306" s="11"/>
      <c r="F5306" s="9"/>
    </row>
    <row r="5307" s="1" customFormat="1" customHeight="1" spans="1:6">
      <c r="A5307" s="9" t="str">
        <f>"10310517725"</f>
        <v>10310517725</v>
      </c>
      <c r="B5307" s="10">
        <v>0</v>
      </c>
      <c r="C5307" s="9"/>
      <c r="D5307" s="9">
        <f t="shared" si="82"/>
        <v>0</v>
      </c>
      <c r="E5307" s="11"/>
      <c r="F5307" s="9" t="s">
        <v>7</v>
      </c>
    </row>
    <row r="5308" s="1" customFormat="1" customHeight="1" spans="1:6">
      <c r="A5308" s="9" t="str">
        <f>"10360517726"</f>
        <v>10360517726</v>
      </c>
      <c r="B5308" s="10">
        <v>41.64</v>
      </c>
      <c r="C5308" s="9"/>
      <c r="D5308" s="9">
        <f t="shared" si="82"/>
        <v>41.64</v>
      </c>
      <c r="E5308" s="11"/>
      <c r="F5308" s="9"/>
    </row>
    <row r="5309" s="1" customFormat="1" customHeight="1" spans="1:6">
      <c r="A5309" s="9" t="str">
        <f>"10210517727"</f>
        <v>10210517727</v>
      </c>
      <c r="B5309" s="10">
        <v>43.12</v>
      </c>
      <c r="C5309" s="9"/>
      <c r="D5309" s="9">
        <f t="shared" si="82"/>
        <v>43.12</v>
      </c>
      <c r="E5309" s="11"/>
      <c r="F5309" s="9"/>
    </row>
    <row r="5310" s="1" customFormat="1" customHeight="1" spans="1:6">
      <c r="A5310" s="9" t="str">
        <f>"10330517728"</f>
        <v>10330517728</v>
      </c>
      <c r="B5310" s="10">
        <v>47.22</v>
      </c>
      <c r="C5310" s="9"/>
      <c r="D5310" s="9">
        <f t="shared" si="82"/>
        <v>47.22</v>
      </c>
      <c r="E5310" s="11"/>
      <c r="F5310" s="9"/>
    </row>
    <row r="5311" s="1" customFormat="1" customHeight="1" spans="1:6">
      <c r="A5311" s="9" t="str">
        <f>"10530517729"</f>
        <v>10530517729</v>
      </c>
      <c r="B5311" s="10">
        <v>0</v>
      </c>
      <c r="C5311" s="9"/>
      <c r="D5311" s="9">
        <f t="shared" si="82"/>
        <v>0</v>
      </c>
      <c r="E5311" s="11"/>
      <c r="F5311" s="9" t="s">
        <v>7</v>
      </c>
    </row>
    <row r="5312" s="1" customFormat="1" customHeight="1" spans="1:6">
      <c r="A5312" s="9" t="str">
        <f>"10350517730"</f>
        <v>10350517730</v>
      </c>
      <c r="B5312" s="10">
        <v>44.31</v>
      </c>
      <c r="C5312" s="9"/>
      <c r="D5312" s="9">
        <f t="shared" si="82"/>
        <v>44.31</v>
      </c>
      <c r="E5312" s="11"/>
      <c r="F5312" s="9"/>
    </row>
    <row r="5313" s="1" customFormat="1" customHeight="1" spans="1:6">
      <c r="A5313" s="9" t="str">
        <f>"10360517801"</f>
        <v>10360517801</v>
      </c>
      <c r="B5313" s="10">
        <v>41.25</v>
      </c>
      <c r="C5313" s="9"/>
      <c r="D5313" s="9">
        <f t="shared" si="82"/>
        <v>41.25</v>
      </c>
      <c r="E5313" s="11"/>
      <c r="F5313" s="9"/>
    </row>
    <row r="5314" s="1" customFormat="1" customHeight="1" spans="1:6">
      <c r="A5314" s="9" t="str">
        <f>"10160517802"</f>
        <v>10160517802</v>
      </c>
      <c r="B5314" s="10">
        <v>0</v>
      </c>
      <c r="C5314" s="9"/>
      <c r="D5314" s="9">
        <f t="shared" si="82"/>
        <v>0</v>
      </c>
      <c r="E5314" s="11"/>
      <c r="F5314" s="9" t="s">
        <v>7</v>
      </c>
    </row>
    <row r="5315" s="1" customFormat="1" customHeight="1" spans="1:6">
      <c r="A5315" s="9" t="str">
        <f>"10230517803"</f>
        <v>10230517803</v>
      </c>
      <c r="B5315" s="10">
        <v>35.62</v>
      </c>
      <c r="C5315" s="9"/>
      <c r="D5315" s="9">
        <f t="shared" ref="D5315:D5378" si="83">SUM(B5315:C5315)</f>
        <v>35.62</v>
      </c>
      <c r="E5315" s="11"/>
      <c r="F5315" s="9"/>
    </row>
    <row r="5316" s="1" customFormat="1" customHeight="1" spans="1:6">
      <c r="A5316" s="9" t="str">
        <f>"10360517804"</f>
        <v>10360517804</v>
      </c>
      <c r="B5316" s="10">
        <v>0</v>
      </c>
      <c r="C5316" s="9"/>
      <c r="D5316" s="9">
        <f t="shared" si="83"/>
        <v>0</v>
      </c>
      <c r="E5316" s="11"/>
      <c r="F5316" s="9" t="s">
        <v>7</v>
      </c>
    </row>
    <row r="5317" s="1" customFormat="1" customHeight="1" spans="1:6">
      <c r="A5317" s="9" t="str">
        <f>"10530517805"</f>
        <v>10530517805</v>
      </c>
      <c r="B5317" s="10">
        <v>34.36</v>
      </c>
      <c r="C5317" s="9"/>
      <c r="D5317" s="9">
        <f t="shared" si="83"/>
        <v>34.36</v>
      </c>
      <c r="E5317" s="11"/>
      <c r="F5317" s="9"/>
    </row>
    <row r="5318" s="1" customFormat="1" customHeight="1" spans="1:6">
      <c r="A5318" s="9" t="str">
        <f>"10530517806"</f>
        <v>10530517806</v>
      </c>
      <c r="B5318" s="10">
        <v>39.94</v>
      </c>
      <c r="C5318" s="9"/>
      <c r="D5318" s="9">
        <f t="shared" si="83"/>
        <v>39.94</v>
      </c>
      <c r="E5318" s="11"/>
      <c r="F5318" s="9"/>
    </row>
    <row r="5319" s="1" customFormat="1" customHeight="1" spans="1:6">
      <c r="A5319" s="9" t="str">
        <f>"10100517807"</f>
        <v>10100517807</v>
      </c>
      <c r="B5319" s="10">
        <v>0</v>
      </c>
      <c r="C5319" s="9"/>
      <c r="D5319" s="9">
        <f t="shared" si="83"/>
        <v>0</v>
      </c>
      <c r="E5319" s="11"/>
      <c r="F5319" s="9" t="s">
        <v>7</v>
      </c>
    </row>
    <row r="5320" s="1" customFormat="1" customHeight="1" spans="1:6">
      <c r="A5320" s="9" t="str">
        <f>"10530517808"</f>
        <v>10530517808</v>
      </c>
      <c r="B5320" s="10">
        <v>0</v>
      </c>
      <c r="C5320" s="9"/>
      <c r="D5320" s="9">
        <f t="shared" si="83"/>
        <v>0</v>
      </c>
      <c r="E5320" s="11"/>
      <c r="F5320" s="9" t="s">
        <v>7</v>
      </c>
    </row>
    <row r="5321" s="1" customFormat="1" customHeight="1" spans="1:6">
      <c r="A5321" s="9" t="str">
        <f>"10240517809"</f>
        <v>10240517809</v>
      </c>
      <c r="B5321" s="10">
        <v>0</v>
      </c>
      <c r="C5321" s="9"/>
      <c r="D5321" s="9">
        <f t="shared" si="83"/>
        <v>0</v>
      </c>
      <c r="E5321" s="11"/>
      <c r="F5321" s="9" t="s">
        <v>7</v>
      </c>
    </row>
    <row r="5322" s="1" customFormat="1" customHeight="1" spans="1:6">
      <c r="A5322" s="9" t="str">
        <f>"10500517810"</f>
        <v>10500517810</v>
      </c>
      <c r="B5322" s="10">
        <v>32.72</v>
      </c>
      <c r="C5322" s="9"/>
      <c r="D5322" s="9">
        <f t="shared" si="83"/>
        <v>32.72</v>
      </c>
      <c r="E5322" s="11"/>
      <c r="F5322" s="9"/>
    </row>
    <row r="5323" s="1" customFormat="1" customHeight="1" spans="1:6">
      <c r="A5323" s="9" t="str">
        <f>"10320517811"</f>
        <v>10320517811</v>
      </c>
      <c r="B5323" s="10">
        <v>44.11</v>
      </c>
      <c r="C5323" s="9"/>
      <c r="D5323" s="9">
        <f t="shared" si="83"/>
        <v>44.11</v>
      </c>
      <c r="E5323" s="11"/>
      <c r="F5323" s="9"/>
    </row>
    <row r="5324" s="1" customFormat="1" customHeight="1" spans="1:6">
      <c r="A5324" s="9" t="str">
        <f>"10360517812"</f>
        <v>10360517812</v>
      </c>
      <c r="B5324" s="10">
        <v>24.1</v>
      </c>
      <c r="C5324" s="9">
        <v>10</v>
      </c>
      <c r="D5324" s="9">
        <f t="shared" si="83"/>
        <v>34.1</v>
      </c>
      <c r="E5324" s="12" t="s">
        <v>8</v>
      </c>
      <c r="F5324" s="9"/>
    </row>
    <row r="5325" s="1" customFormat="1" customHeight="1" spans="1:6">
      <c r="A5325" s="9" t="str">
        <f>"10150517813"</f>
        <v>10150517813</v>
      </c>
      <c r="B5325" s="10">
        <v>52.76</v>
      </c>
      <c r="C5325" s="9"/>
      <c r="D5325" s="9">
        <f t="shared" si="83"/>
        <v>52.76</v>
      </c>
      <c r="E5325" s="11"/>
      <c r="F5325" s="9"/>
    </row>
    <row r="5326" s="1" customFormat="1" customHeight="1" spans="1:6">
      <c r="A5326" s="9" t="str">
        <f>"10440517814"</f>
        <v>10440517814</v>
      </c>
      <c r="B5326" s="10">
        <v>29.03</v>
      </c>
      <c r="C5326" s="9"/>
      <c r="D5326" s="9">
        <f t="shared" si="83"/>
        <v>29.03</v>
      </c>
      <c r="E5326" s="11"/>
      <c r="F5326" s="9"/>
    </row>
    <row r="5327" s="1" customFormat="1" customHeight="1" spans="1:6">
      <c r="A5327" s="9" t="str">
        <f>"10360517815"</f>
        <v>10360517815</v>
      </c>
      <c r="B5327" s="10">
        <v>37.08</v>
      </c>
      <c r="C5327" s="9"/>
      <c r="D5327" s="9">
        <f t="shared" si="83"/>
        <v>37.08</v>
      </c>
      <c r="E5327" s="11"/>
      <c r="F5327" s="9"/>
    </row>
    <row r="5328" s="1" customFormat="1" customHeight="1" spans="1:6">
      <c r="A5328" s="9" t="str">
        <f>"10280517816"</f>
        <v>10280517816</v>
      </c>
      <c r="B5328" s="10">
        <v>34.95</v>
      </c>
      <c r="C5328" s="9"/>
      <c r="D5328" s="9">
        <f t="shared" si="83"/>
        <v>34.95</v>
      </c>
      <c r="E5328" s="11"/>
      <c r="F5328" s="9"/>
    </row>
    <row r="5329" s="1" customFormat="1" customHeight="1" spans="1:6">
      <c r="A5329" s="9" t="str">
        <f>"10200517817"</f>
        <v>10200517817</v>
      </c>
      <c r="B5329" s="10">
        <v>51.41</v>
      </c>
      <c r="C5329" s="9"/>
      <c r="D5329" s="9">
        <f t="shared" si="83"/>
        <v>51.41</v>
      </c>
      <c r="E5329" s="11"/>
      <c r="F5329" s="9"/>
    </row>
    <row r="5330" s="1" customFormat="1" customHeight="1" spans="1:6">
      <c r="A5330" s="9" t="str">
        <f>"10360517818"</f>
        <v>10360517818</v>
      </c>
      <c r="B5330" s="10">
        <v>42.94</v>
      </c>
      <c r="C5330" s="9"/>
      <c r="D5330" s="9">
        <f t="shared" si="83"/>
        <v>42.94</v>
      </c>
      <c r="E5330" s="11"/>
      <c r="F5330" s="9"/>
    </row>
    <row r="5331" s="1" customFormat="1" customHeight="1" spans="1:6">
      <c r="A5331" s="9" t="str">
        <f>"10150517819"</f>
        <v>10150517819</v>
      </c>
      <c r="B5331" s="10">
        <v>41.36</v>
      </c>
      <c r="C5331" s="9"/>
      <c r="D5331" s="9">
        <f t="shared" si="83"/>
        <v>41.36</v>
      </c>
      <c r="E5331" s="11"/>
      <c r="F5331" s="9"/>
    </row>
    <row r="5332" s="1" customFormat="1" customHeight="1" spans="1:6">
      <c r="A5332" s="9" t="str">
        <f>"10460517820"</f>
        <v>10460517820</v>
      </c>
      <c r="B5332" s="10">
        <v>0</v>
      </c>
      <c r="C5332" s="9"/>
      <c r="D5332" s="9">
        <f t="shared" si="83"/>
        <v>0</v>
      </c>
      <c r="E5332" s="11"/>
      <c r="F5332" s="9" t="s">
        <v>7</v>
      </c>
    </row>
    <row r="5333" s="1" customFormat="1" customHeight="1" spans="1:6">
      <c r="A5333" s="9" t="str">
        <f>"10360517821"</f>
        <v>10360517821</v>
      </c>
      <c r="B5333" s="10">
        <v>45.45</v>
      </c>
      <c r="C5333" s="9">
        <v>10</v>
      </c>
      <c r="D5333" s="9">
        <f t="shared" si="83"/>
        <v>55.45</v>
      </c>
      <c r="E5333" s="12" t="s">
        <v>8</v>
      </c>
      <c r="F5333" s="9"/>
    </row>
    <row r="5334" s="1" customFormat="1" customHeight="1" spans="1:6">
      <c r="A5334" s="9" t="str">
        <f>"10360517822"</f>
        <v>10360517822</v>
      </c>
      <c r="B5334" s="10">
        <v>39.04</v>
      </c>
      <c r="C5334" s="9"/>
      <c r="D5334" s="9">
        <f t="shared" si="83"/>
        <v>39.04</v>
      </c>
      <c r="E5334" s="11"/>
      <c r="F5334" s="9"/>
    </row>
    <row r="5335" s="1" customFormat="1" customHeight="1" spans="1:6">
      <c r="A5335" s="9" t="str">
        <f>"10240517823"</f>
        <v>10240517823</v>
      </c>
      <c r="B5335" s="10">
        <v>44.36</v>
      </c>
      <c r="C5335" s="9"/>
      <c r="D5335" s="9">
        <f t="shared" si="83"/>
        <v>44.36</v>
      </c>
      <c r="E5335" s="11"/>
      <c r="F5335" s="9"/>
    </row>
    <row r="5336" s="1" customFormat="1" customHeight="1" spans="1:6">
      <c r="A5336" s="9" t="str">
        <f>"10530517824"</f>
        <v>10530517824</v>
      </c>
      <c r="B5336" s="10">
        <v>39.21</v>
      </c>
      <c r="C5336" s="9"/>
      <c r="D5336" s="9">
        <f t="shared" si="83"/>
        <v>39.21</v>
      </c>
      <c r="E5336" s="11"/>
      <c r="F5336" s="9"/>
    </row>
    <row r="5337" s="1" customFormat="1" customHeight="1" spans="1:6">
      <c r="A5337" s="9" t="str">
        <f>"10290517825"</f>
        <v>10290517825</v>
      </c>
      <c r="B5337" s="10">
        <v>42.47</v>
      </c>
      <c r="C5337" s="9"/>
      <c r="D5337" s="9">
        <f t="shared" si="83"/>
        <v>42.47</v>
      </c>
      <c r="E5337" s="11"/>
      <c r="F5337" s="9"/>
    </row>
    <row r="5338" s="1" customFormat="1" customHeight="1" spans="1:6">
      <c r="A5338" s="9" t="str">
        <f>"10170517826"</f>
        <v>10170517826</v>
      </c>
      <c r="B5338" s="10">
        <v>40.63</v>
      </c>
      <c r="C5338" s="9"/>
      <c r="D5338" s="9">
        <f t="shared" si="83"/>
        <v>40.63</v>
      </c>
      <c r="E5338" s="11"/>
      <c r="F5338" s="9"/>
    </row>
    <row r="5339" s="1" customFormat="1" customHeight="1" spans="1:6">
      <c r="A5339" s="9" t="str">
        <f>"10160517827"</f>
        <v>10160517827</v>
      </c>
      <c r="B5339" s="10">
        <v>39.51</v>
      </c>
      <c r="C5339" s="9"/>
      <c r="D5339" s="9">
        <f t="shared" si="83"/>
        <v>39.51</v>
      </c>
      <c r="E5339" s="11"/>
      <c r="F5339" s="9"/>
    </row>
    <row r="5340" s="1" customFormat="1" customHeight="1" spans="1:6">
      <c r="A5340" s="9" t="str">
        <f>"10530517828"</f>
        <v>10530517828</v>
      </c>
      <c r="B5340" s="10">
        <v>33.61</v>
      </c>
      <c r="C5340" s="9"/>
      <c r="D5340" s="9">
        <f t="shared" si="83"/>
        <v>33.61</v>
      </c>
      <c r="E5340" s="11"/>
      <c r="F5340" s="9"/>
    </row>
    <row r="5341" s="1" customFormat="1" customHeight="1" spans="1:6">
      <c r="A5341" s="9" t="str">
        <f>"10170517829"</f>
        <v>10170517829</v>
      </c>
      <c r="B5341" s="10">
        <v>31.89</v>
      </c>
      <c r="C5341" s="9"/>
      <c r="D5341" s="9">
        <f t="shared" si="83"/>
        <v>31.89</v>
      </c>
      <c r="E5341" s="11"/>
      <c r="F5341" s="9"/>
    </row>
    <row r="5342" s="1" customFormat="1" customHeight="1" spans="1:6">
      <c r="A5342" s="9" t="str">
        <f>"10440517830"</f>
        <v>10440517830</v>
      </c>
      <c r="B5342" s="10">
        <v>33.96</v>
      </c>
      <c r="C5342" s="9"/>
      <c r="D5342" s="9">
        <f t="shared" si="83"/>
        <v>33.96</v>
      </c>
      <c r="E5342" s="11"/>
      <c r="F5342" s="9"/>
    </row>
    <row r="5343" s="1" customFormat="1" customHeight="1" spans="1:6">
      <c r="A5343" s="9" t="str">
        <f>"10130517901"</f>
        <v>10130517901</v>
      </c>
      <c r="B5343" s="10">
        <v>46.15</v>
      </c>
      <c r="C5343" s="9"/>
      <c r="D5343" s="9">
        <f t="shared" si="83"/>
        <v>46.15</v>
      </c>
      <c r="E5343" s="11"/>
      <c r="F5343" s="9"/>
    </row>
    <row r="5344" s="1" customFormat="1" customHeight="1" spans="1:6">
      <c r="A5344" s="9" t="str">
        <f>"10360517902"</f>
        <v>10360517902</v>
      </c>
      <c r="B5344" s="10">
        <v>37.25</v>
      </c>
      <c r="C5344" s="9"/>
      <c r="D5344" s="9">
        <f t="shared" si="83"/>
        <v>37.25</v>
      </c>
      <c r="E5344" s="11"/>
      <c r="F5344" s="9"/>
    </row>
    <row r="5345" s="1" customFormat="1" customHeight="1" spans="1:6">
      <c r="A5345" s="9" t="str">
        <f>"10130517903"</f>
        <v>10130517903</v>
      </c>
      <c r="B5345" s="10">
        <v>44.48</v>
      </c>
      <c r="C5345" s="9"/>
      <c r="D5345" s="9">
        <f t="shared" si="83"/>
        <v>44.48</v>
      </c>
      <c r="E5345" s="11"/>
      <c r="F5345" s="9"/>
    </row>
    <row r="5346" s="1" customFormat="1" customHeight="1" spans="1:6">
      <c r="A5346" s="9" t="str">
        <f>"10330517904"</f>
        <v>10330517904</v>
      </c>
      <c r="B5346" s="10">
        <v>48.29</v>
      </c>
      <c r="C5346" s="9"/>
      <c r="D5346" s="9">
        <f t="shared" si="83"/>
        <v>48.29</v>
      </c>
      <c r="E5346" s="11"/>
      <c r="F5346" s="9"/>
    </row>
    <row r="5347" s="1" customFormat="1" customHeight="1" spans="1:6">
      <c r="A5347" s="9" t="str">
        <f>"10530517905"</f>
        <v>10530517905</v>
      </c>
      <c r="B5347" s="10">
        <v>0</v>
      </c>
      <c r="C5347" s="9"/>
      <c r="D5347" s="9">
        <f t="shared" si="83"/>
        <v>0</v>
      </c>
      <c r="E5347" s="11"/>
      <c r="F5347" s="9" t="s">
        <v>7</v>
      </c>
    </row>
    <row r="5348" s="1" customFormat="1" customHeight="1" spans="1:6">
      <c r="A5348" s="9" t="str">
        <f>"10020517906"</f>
        <v>10020517906</v>
      </c>
      <c r="B5348" s="10">
        <v>44.57</v>
      </c>
      <c r="C5348" s="9"/>
      <c r="D5348" s="9">
        <f t="shared" si="83"/>
        <v>44.57</v>
      </c>
      <c r="E5348" s="11"/>
      <c r="F5348" s="9"/>
    </row>
    <row r="5349" s="1" customFormat="1" customHeight="1" spans="1:6">
      <c r="A5349" s="9" t="str">
        <f>"10160517907"</f>
        <v>10160517907</v>
      </c>
      <c r="B5349" s="10">
        <v>43.18</v>
      </c>
      <c r="C5349" s="9"/>
      <c r="D5349" s="9">
        <f t="shared" si="83"/>
        <v>43.18</v>
      </c>
      <c r="E5349" s="11"/>
      <c r="F5349" s="9"/>
    </row>
    <row r="5350" s="1" customFormat="1" customHeight="1" spans="1:6">
      <c r="A5350" s="9" t="str">
        <f>"10340517908"</f>
        <v>10340517908</v>
      </c>
      <c r="B5350" s="10">
        <v>51.44</v>
      </c>
      <c r="C5350" s="9"/>
      <c r="D5350" s="9">
        <f t="shared" si="83"/>
        <v>51.44</v>
      </c>
      <c r="E5350" s="11"/>
      <c r="F5350" s="9"/>
    </row>
    <row r="5351" s="1" customFormat="1" customHeight="1" spans="1:6">
      <c r="A5351" s="9" t="str">
        <f>"10360517909"</f>
        <v>10360517909</v>
      </c>
      <c r="B5351" s="10">
        <v>34.88</v>
      </c>
      <c r="C5351" s="9"/>
      <c r="D5351" s="9">
        <f t="shared" si="83"/>
        <v>34.88</v>
      </c>
      <c r="E5351" s="11"/>
      <c r="F5351" s="9"/>
    </row>
    <row r="5352" s="1" customFormat="1" customHeight="1" spans="1:6">
      <c r="A5352" s="9" t="str">
        <f>"10280517910"</f>
        <v>10280517910</v>
      </c>
      <c r="B5352" s="10">
        <v>45.82</v>
      </c>
      <c r="C5352" s="9"/>
      <c r="D5352" s="9">
        <f t="shared" si="83"/>
        <v>45.82</v>
      </c>
      <c r="E5352" s="11"/>
      <c r="F5352" s="9"/>
    </row>
    <row r="5353" s="1" customFormat="1" customHeight="1" spans="1:6">
      <c r="A5353" s="9" t="str">
        <f>"10360517911"</f>
        <v>10360517911</v>
      </c>
      <c r="B5353" s="10">
        <v>32.11</v>
      </c>
      <c r="C5353" s="9"/>
      <c r="D5353" s="9">
        <f t="shared" si="83"/>
        <v>32.11</v>
      </c>
      <c r="E5353" s="11"/>
      <c r="F5353" s="9"/>
    </row>
    <row r="5354" s="1" customFormat="1" customHeight="1" spans="1:6">
      <c r="A5354" s="9" t="str">
        <f>"10080517912"</f>
        <v>10080517912</v>
      </c>
      <c r="B5354" s="10">
        <v>36.52</v>
      </c>
      <c r="C5354" s="9"/>
      <c r="D5354" s="9">
        <f t="shared" si="83"/>
        <v>36.52</v>
      </c>
      <c r="E5354" s="11"/>
      <c r="F5354" s="9"/>
    </row>
    <row r="5355" s="1" customFormat="1" customHeight="1" spans="1:6">
      <c r="A5355" s="9" t="str">
        <f>"10300517913"</f>
        <v>10300517913</v>
      </c>
      <c r="B5355" s="10">
        <v>53.67</v>
      </c>
      <c r="C5355" s="9"/>
      <c r="D5355" s="9">
        <f t="shared" si="83"/>
        <v>53.67</v>
      </c>
      <c r="E5355" s="11"/>
      <c r="F5355" s="9"/>
    </row>
    <row r="5356" s="1" customFormat="1" customHeight="1" spans="1:6">
      <c r="A5356" s="9" t="str">
        <f>"10080517914"</f>
        <v>10080517914</v>
      </c>
      <c r="B5356" s="10">
        <v>50.09</v>
      </c>
      <c r="C5356" s="9"/>
      <c r="D5356" s="9">
        <f t="shared" si="83"/>
        <v>50.09</v>
      </c>
      <c r="E5356" s="11"/>
      <c r="F5356" s="9"/>
    </row>
    <row r="5357" s="1" customFormat="1" customHeight="1" spans="1:6">
      <c r="A5357" s="9" t="str">
        <f>"10330517915"</f>
        <v>10330517915</v>
      </c>
      <c r="B5357" s="10">
        <v>0</v>
      </c>
      <c r="C5357" s="9"/>
      <c r="D5357" s="9">
        <f t="shared" si="83"/>
        <v>0</v>
      </c>
      <c r="E5357" s="11"/>
      <c r="F5357" s="9" t="s">
        <v>7</v>
      </c>
    </row>
    <row r="5358" s="1" customFormat="1" customHeight="1" spans="1:6">
      <c r="A5358" s="9" t="str">
        <f>"10360517916"</f>
        <v>10360517916</v>
      </c>
      <c r="B5358" s="10">
        <v>0</v>
      </c>
      <c r="C5358" s="9"/>
      <c r="D5358" s="9">
        <f t="shared" si="83"/>
        <v>0</v>
      </c>
      <c r="E5358" s="11"/>
      <c r="F5358" s="9" t="s">
        <v>7</v>
      </c>
    </row>
    <row r="5359" s="1" customFormat="1" customHeight="1" spans="1:6">
      <c r="A5359" s="9" t="str">
        <f>"10510517917"</f>
        <v>10510517917</v>
      </c>
      <c r="B5359" s="10">
        <v>34.94</v>
      </c>
      <c r="C5359" s="9"/>
      <c r="D5359" s="9">
        <f t="shared" si="83"/>
        <v>34.94</v>
      </c>
      <c r="E5359" s="11"/>
      <c r="F5359" s="9"/>
    </row>
    <row r="5360" s="1" customFormat="1" customHeight="1" spans="1:6">
      <c r="A5360" s="9" t="str">
        <f>"10120517918"</f>
        <v>10120517918</v>
      </c>
      <c r="B5360" s="10">
        <v>0</v>
      </c>
      <c r="C5360" s="9"/>
      <c r="D5360" s="9">
        <f t="shared" si="83"/>
        <v>0</v>
      </c>
      <c r="E5360" s="11"/>
      <c r="F5360" s="9" t="s">
        <v>7</v>
      </c>
    </row>
    <row r="5361" s="1" customFormat="1" customHeight="1" spans="1:6">
      <c r="A5361" s="9" t="str">
        <f>"10440517919"</f>
        <v>10440517919</v>
      </c>
      <c r="B5361" s="10">
        <v>41.01</v>
      </c>
      <c r="C5361" s="9"/>
      <c r="D5361" s="9">
        <f t="shared" si="83"/>
        <v>41.01</v>
      </c>
      <c r="E5361" s="11"/>
      <c r="F5361" s="9"/>
    </row>
    <row r="5362" s="1" customFormat="1" customHeight="1" spans="1:6">
      <c r="A5362" s="9" t="str">
        <f>"10490517920"</f>
        <v>10490517920</v>
      </c>
      <c r="B5362" s="10">
        <v>0</v>
      </c>
      <c r="C5362" s="9"/>
      <c r="D5362" s="9">
        <f t="shared" si="83"/>
        <v>0</v>
      </c>
      <c r="E5362" s="11"/>
      <c r="F5362" s="9" t="s">
        <v>7</v>
      </c>
    </row>
    <row r="5363" s="1" customFormat="1" customHeight="1" spans="1:6">
      <c r="A5363" s="9" t="str">
        <f>"10350517921"</f>
        <v>10350517921</v>
      </c>
      <c r="B5363" s="10">
        <v>0</v>
      </c>
      <c r="C5363" s="9"/>
      <c r="D5363" s="9">
        <f t="shared" si="83"/>
        <v>0</v>
      </c>
      <c r="E5363" s="11"/>
      <c r="F5363" s="9" t="s">
        <v>7</v>
      </c>
    </row>
    <row r="5364" s="1" customFormat="1" customHeight="1" spans="1:6">
      <c r="A5364" s="9" t="str">
        <f>"10460517922"</f>
        <v>10460517922</v>
      </c>
      <c r="B5364" s="10">
        <v>0</v>
      </c>
      <c r="C5364" s="9"/>
      <c r="D5364" s="9">
        <f t="shared" si="83"/>
        <v>0</v>
      </c>
      <c r="E5364" s="11"/>
      <c r="F5364" s="9" t="s">
        <v>7</v>
      </c>
    </row>
    <row r="5365" s="1" customFormat="1" customHeight="1" spans="1:6">
      <c r="A5365" s="9" t="str">
        <f>"10360517923"</f>
        <v>10360517923</v>
      </c>
      <c r="B5365" s="10">
        <v>0</v>
      </c>
      <c r="C5365" s="9"/>
      <c r="D5365" s="9">
        <f t="shared" si="83"/>
        <v>0</v>
      </c>
      <c r="E5365" s="11"/>
      <c r="F5365" s="9" t="s">
        <v>7</v>
      </c>
    </row>
    <row r="5366" s="1" customFormat="1" customHeight="1" spans="1:6">
      <c r="A5366" s="9" t="str">
        <f>"10360517924"</f>
        <v>10360517924</v>
      </c>
      <c r="B5366" s="10">
        <v>39.56</v>
      </c>
      <c r="C5366" s="9"/>
      <c r="D5366" s="9">
        <f t="shared" si="83"/>
        <v>39.56</v>
      </c>
      <c r="E5366" s="11"/>
      <c r="F5366" s="9"/>
    </row>
    <row r="5367" s="1" customFormat="1" customHeight="1" spans="1:6">
      <c r="A5367" s="9" t="str">
        <f>"10080517925"</f>
        <v>10080517925</v>
      </c>
      <c r="B5367" s="10">
        <v>0</v>
      </c>
      <c r="C5367" s="9"/>
      <c r="D5367" s="9">
        <f t="shared" si="83"/>
        <v>0</v>
      </c>
      <c r="E5367" s="11"/>
      <c r="F5367" s="9" t="s">
        <v>7</v>
      </c>
    </row>
    <row r="5368" s="1" customFormat="1" customHeight="1" spans="1:6">
      <c r="A5368" s="9" t="str">
        <f>"10240517926"</f>
        <v>10240517926</v>
      </c>
      <c r="B5368" s="10">
        <v>44.98</v>
      </c>
      <c r="C5368" s="9"/>
      <c r="D5368" s="9">
        <f t="shared" si="83"/>
        <v>44.98</v>
      </c>
      <c r="E5368" s="11"/>
      <c r="F5368" s="9"/>
    </row>
    <row r="5369" s="1" customFormat="1" customHeight="1" spans="1:6">
      <c r="A5369" s="9" t="str">
        <f>"10090517927"</f>
        <v>10090517927</v>
      </c>
      <c r="B5369" s="10">
        <v>37.12</v>
      </c>
      <c r="C5369" s="9"/>
      <c r="D5369" s="9">
        <f t="shared" si="83"/>
        <v>37.12</v>
      </c>
      <c r="E5369" s="11"/>
      <c r="F5369" s="9"/>
    </row>
    <row r="5370" s="1" customFormat="1" customHeight="1" spans="1:6">
      <c r="A5370" s="9" t="str">
        <f>"10360517928"</f>
        <v>10360517928</v>
      </c>
      <c r="B5370" s="10">
        <v>48.24</v>
      </c>
      <c r="C5370" s="9"/>
      <c r="D5370" s="9">
        <f t="shared" si="83"/>
        <v>48.24</v>
      </c>
      <c r="E5370" s="11"/>
      <c r="F5370" s="9"/>
    </row>
    <row r="5371" s="1" customFormat="1" customHeight="1" spans="1:6">
      <c r="A5371" s="9" t="str">
        <f>"10170517929"</f>
        <v>10170517929</v>
      </c>
      <c r="B5371" s="10">
        <v>41.43</v>
      </c>
      <c r="C5371" s="9"/>
      <c r="D5371" s="9">
        <f t="shared" si="83"/>
        <v>41.43</v>
      </c>
      <c r="E5371" s="11"/>
      <c r="F5371" s="9"/>
    </row>
    <row r="5372" s="1" customFormat="1" customHeight="1" spans="1:6">
      <c r="A5372" s="9" t="str">
        <f>"10180517930"</f>
        <v>10180517930</v>
      </c>
      <c r="B5372" s="10">
        <v>42.16</v>
      </c>
      <c r="C5372" s="9"/>
      <c r="D5372" s="9">
        <f t="shared" si="83"/>
        <v>42.16</v>
      </c>
      <c r="E5372" s="11"/>
      <c r="F5372" s="9"/>
    </row>
    <row r="5373" s="1" customFormat="1" customHeight="1" spans="1:6">
      <c r="A5373" s="9" t="str">
        <f>"10310518001"</f>
        <v>10310518001</v>
      </c>
      <c r="B5373" s="10">
        <v>40.36</v>
      </c>
      <c r="C5373" s="9"/>
      <c r="D5373" s="9">
        <f t="shared" si="83"/>
        <v>40.36</v>
      </c>
      <c r="E5373" s="11"/>
      <c r="F5373" s="9"/>
    </row>
    <row r="5374" s="1" customFormat="1" customHeight="1" spans="1:6">
      <c r="A5374" s="9" t="str">
        <f>"10530518002"</f>
        <v>10530518002</v>
      </c>
      <c r="B5374" s="10">
        <v>41.7</v>
      </c>
      <c r="C5374" s="9"/>
      <c r="D5374" s="9">
        <f t="shared" si="83"/>
        <v>41.7</v>
      </c>
      <c r="E5374" s="11"/>
      <c r="F5374" s="9"/>
    </row>
    <row r="5375" s="1" customFormat="1" customHeight="1" spans="1:6">
      <c r="A5375" s="9" t="str">
        <f>"10360518003"</f>
        <v>10360518003</v>
      </c>
      <c r="B5375" s="10">
        <v>28.17</v>
      </c>
      <c r="C5375" s="9"/>
      <c r="D5375" s="9">
        <f t="shared" si="83"/>
        <v>28.17</v>
      </c>
      <c r="E5375" s="11"/>
      <c r="F5375" s="9"/>
    </row>
    <row r="5376" s="1" customFormat="1" customHeight="1" spans="1:6">
      <c r="A5376" s="9" t="str">
        <f>"10360518004"</f>
        <v>10360518004</v>
      </c>
      <c r="B5376" s="10">
        <v>0</v>
      </c>
      <c r="C5376" s="9"/>
      <c r="D5376" s="9">
        <f t="shared" si="83"/>
        <v>0</v>
      </c>
      <c r="E5376" s="11"/>
      <c r="F5376" s="9" t="s">
        <v>7</v>
      </c>
    </row>
    <row r="5377" s="1" customFormat="1" customHeight="1" spans="1:6">
      <c r="A5377" s="9" t="str">
        <f>"10530518005"</f>
        <v>10530518005</v>
      </c>
      <c r="B5377" s="10">
        <v>0</v>
      </c>
      <c r="C5377" s="9"/>
      <c r="D5377" s="9">
        <f t="shared" si="83"/>
        <v>0</v>
      </c>
      <c r="E5377" s="11"/>
      <c r="F5377" s="9" t="s">
        <v>7</v>
      </c>
    </row>
    <row r="5378" s="1" customFormat="1" customHeight="1" spans="1:6">
      <c r="A5378" s="9" t="str">
        <f>"10360518006"</f>
        <v>10360518006</v>
      </c>
      <c r="B5378" s="10">
        <v>39.51</v>
      </c>
      <c r="C5378" s="9"/>
      <c r="D5378" s="9">
        <f t="shared" si="83"/>
        <v>39.51</v>
      </c>
      <c r="E5378" s="11"/>
      <c r="F5378" s="9"/>
    </row>
    <row r="5379" s="1" customFormat="1" customHeight="1" spans="1:6">
      <c r="A5379" s="9" t="str">
        <f>"20270518007"</f>
        <v>20270518007</v>
      </c>
      <c r="B5379" s="10">
        <v>43.94</v>
      </c>
      <c r="C5379" s="9"/>
      <c r="D5379" s="9">
        <f t="shared" ref="D5379:D5442" si="84">SUM(B5379:C5379)</f>
        <v>43.94</v>
      </c>
      <c r="E5379" s="11"/>
      <c r="F5379" s="9"/>
    </row>
    <row r="5380" s="1" customFormat="1" customHeight="1" spans="1:6">
      <c r="A5380" s="9" t="str">
        <f>"10240518008"</f>
        <v>10240518008</v>
      </c>
      <c r="B5380" s="10">
        <v>47.75</v>
      </c>
      <c r="C5380" s="9"/>
      <c r="D5380" s="9">
        <f t="shared" si="84"/>
        <v>47.75</v>
      </c>
      <c r="E5380" s="11"/>
      <c r="F5380" s="9"/>
    </row>
    <row r="5381" s="1" customFormat="1" customHeight="1" spans="1:6">
      <c r="A5381" s="9" t="str">
        <f>"10530518009"</f>
        <v>10530518009</v>
      </c>
      <c r="B5381" s="10">
        <v>41.36</v>
      </c>
      <c r="C5381" s="9"/>
      <c r="D5381" s="9">
        <f t="shared" si="84"/>
        <v>41.36</v>
      </c>
      <c r="E5381" s="11"/>
      <c r="F5381" s="9"/>
    </row>
    <row r="5382" s="1" customFormat="1" customHeight="1" spans="1:6">
      <c r="A5382" s="9" t="str">
        <f>"10060518010"</f>
        <v>10060518010</v>
      </c>
      <c r="B5382" s="10">
        <v>37.6</v>
      </c>
      <c r="C5382" s="9"/>
      <c r="D5382" s="9">
        <f t="shared" si="84"/>
        <v>37.6</v>
      </c>
      <c r="E5382" s="11"/>
      <c r="F5382" s="9"/>
    </row>
    <row r="5383" s="1" customFormat="1" customHeight="1" spans="1:6">
      <c r="A5383" s="9" t="str">
        <f>"10360518011"</f>
        <v>10360518011</v>
      </c>
      <c r="B5383" s="10">
        <v>46.41</v>
      </c>
      <c r="C5383" s="9"/>
      <c r="D5383" s="9">
        <f t="shared" si="84"/>
        <v>46.41</v>
      </c>
      <c r="E5383" s="11"/>
      <c r="F5383" s="9"/>
    </row>
    <row r="5384" s="1" customFormat="1" customHeight="1" spans="1:6">
      <c r="A5384" s="9" t="str">
        <f>"10320518012"</f>
        <v>10320518012</v>
      </c>
      <c r="B5384" s="10">
        <v>35.25</v>
      </c>
      <c r="C5384" s="9"/>
      <c r="D5384" s="9">
        <f t="shared" si="84"/>
        <v>35.25</v>
      </c>
      <c r="E5384" s="11"/>
      <c r="F5384" s="9"/>
    </row>
    <row r="5385" s="1" customFormat="1" customHeight="1" spans="1:6">
      <c r="A5385" s="9" t="str">
        <f>"10360518013"</f>
        <v>10360518013</v>
      </c>
      <c r="B5385" s="10">
        <v>40.29</v>
      </c>
      <c r="C5385" s="9"/>
      <c r="D5385" s="9">
        <f t="shared" si="84"/>
        <v>40.29</v>
      </c>
      <c r="E5385" s="11"/>
      <c r="F5385" s="9"/>
    </row>
    <row r="5386" s="1" customFormat="1" customHeight="1" spans="1:6">
      <c r="A5386" s="9" t="str">
        <f>"10410518014"</f>
        <v>10410518014</v>
      </c>
      <c r="B5386" s="10">
        <v>36.16</v>
      </c>
      <c r="C5386" s="9"/>
      <c r="D5386" s="9">
        <f t="shared" si="84"/>
        <v>36.16</v>
      </c>
      <c r="E5386" s="11"/>
      <c r="F5386" s="9"/>
    </row>
    <row r="5387" s="1" customFormat="1" customHeight="1" spans="1:6">
      <c r="A5387" s="9" t="str">
        <f>"10480518015"</f>
        <v>10480518015</v>
      </c>
      <c r="B5387" s="10">
        <v>36.99</v>
      </c>
      <c r="C5387" s="9">
        <v>10</v>
      </c>
      <c r="D5387" s="9">
        <f t="shared" si="84"/>
        <v>46.99</v>
      </c>
      <c r="E5387" s="12" t="s">
        <v>8</v>
      </c>
      <c r="F5387" s="9"/>
    </row>
    <row r="5388" s="1" customFormat="1" customHeight="1" spans="1:6">
      <c r="A5388" s="9" t="str">
        <f>"10300518016"</f>
        <v>10300518016</v>
      </c>
      <c r="B5388" s="10">
        <v>35.48</v>
      </c>
      <c r="C5388" s="9"/>
      <c r="D5388" s="9">
        <f t="shared" si="84"/>
        <v>35.48</v>
      </c>
      <c r="E5388" s="11"/>
      <c r="F5388" s="9"/>
    </row>
    <row r="5389" s="1" customFormat="1" customHeight="1" spans="1:6">
      <c r="A5389" s="9" t="str">
        <f>"10360518017"</f>
        <v>10360518017</v>
      </c>
      <c r="B5389" s="10">
        <v>0</v>
      </c>
      <c r="C5389" s="9"/>
      <c r="D5389" s="9">
        <f t="shared" si="84"/>
        <v>0</v>
      </c>
      <c r="E5389" s="11"/>
      <c r="F5389" s="9" t="s">
        <v>7</v>
      </c>
    </row>
    <row r="5390" s="1" customFormat="1" customHeight="1" spans="1:6">
      <c r="A5390" s="9" t="str">
        <f>"10530518018"</f>
        <v>10530518018</v>
      </c>
      <c r="B5390" s="10">
        <v>0</v>
      </c>
      <c r="C5390" s="9"/>
      <c r="D5390" s="9">
        <f t="shared" si="84"/>
        <v>0</v>
      </c>
      <c r="E5390" s="11"/>
      <c r="F5390" s="9" t="s">
        <v>7</v>
      </c>
    </row>
    <row r="5391" s="1" customFormat="1" customHeight="1" spans="1:6">
      <c r="A5391" s="9" t="str">
        <f>"10170518019"</f>
        <v>10170518019</v>
      </c>
      <c r="B5391" s="10">
        <v>40.77</v>
      </c>
      <c r="C5391" s="9"/>
      <c r="D5391" s="9">
        <f t="shared" si="84"/>
        <v>40.77</v>
      </c>
      <c r="E5391" s="11"/>
      <c r="F5391" s="9"/>
    </row>
    <row r="5392" s="1" customFormat="1" customHeight="1" spans="1:6">
      <c r="A5392" s="9" t="str">
        <f>"10280518020"</f>
        <v>10280518020</v>
      </c>
      <c r="B5392" s="10">
        <v>33.72</v>
      </c>
      <c r="C5392" s="9"/>
      <c r="D5392" s="9">
        <f t="shared" si="84"/>
        <v>33.72</v>
      </c>
      <c r="E5392" s="11"/>
      <c r="F5392" s="9"/>
    </row>
    <row r="5393" s="1" customFormat="1" customHeight="1" spans="1:6">
      <c r="A5393" s="9" t="str">
        <f>"10080518021"</f>
        <v>10080518021</v>
      </c>
      <c r="B5393" s="10">
        <v>0</v>
      </c>
      <c r="C5393" s="9"/>
      <c r="D5393" s="9">
        <f t="shared" si="84"/>
        <v>0</v>
      </c>
      <c r="E5393" s="11"/>
      <c r="F5393" s="9" t="s">
        <v>7</v>
      </c>
    </row>
    <row r="5394" s="1" customFormat="1" customHeight="1" spans="1:6">
      <c r="A5394" s="9" t="str">
        <f>"10120518022"</f>
        <v>10120518022</v>
      </c>
      <c r="B5394" s="10">
        <v>0</v>
      </c>
      <c r="C5394" s="9"/>
      <c r="D5394" s="9">
        <f t="shared" si="84"/>
        <v>0</v>
      </c>
      <c r="E5394" s="11"/>
      <c r="F5394" s="9" t="s">
        <v>7</v>
      </c>
    </row>
    <row r="5395" s="1" customFormat="1" customHeight="1" spans="1:6">
      <c r="A5395" s="9" t="str">
        <f>"10530518023"</f>
        <v>10530518023</v>
      </c>
      <c r="B5395" s="10">
        <v>34.83</v>
      </c>
      <c r="C5395" s="9"/>
      <c r="D5395" s="9">
        <f t="shared" si="84"/>
        <v>34.83</v>
      </c>
      <c r="E5395" s="11"/>
      <c r="F5395" s="9"/>
    </row>
    <row r="5396" s="1" customFormat="1" customHeight="1" spans="1:6">
      <c r="A5396" s="9" t="str">
        <f>"10340518024"</f>
        <v>10340518024</v>
      </c>
      <c r="B5396" s="10">
        <v>43.23</v>
      </c>
      <c r="C5396" s="9"/>
      <c r="D5396" s="9">
        <f t="shared" si="84"/>
        <v>43.23</v>
      </c>
      <c r="E5396" s="11"/>
      <c r="F5396" s="9"/>
    </row>
    <row r="5397" s="1" customFormat="1" customHeight="1" spans="1:6">
      <c r="A5397" s="9" t="str">
        <f>"10430518025"</f>
        <v>10430518025</v>
      </c>
      <c r="B5397" s="10">
        <v>40.36</v>
      </c>
      <c r="C5397" s="9"/>
      <c r="D5397" s="9">
        <f t="shared" si="84"/>
        <v>40.36</v>
      </c>
      <c r="E5397" s="11"/>
      <c r="F5397" s="9"/>
    </row>
    <row r="5398" s="1" customFormat="1" customHeight="1" spans="1:6">
      <c r="A5398" s="9" t="str">
        <f>"10360518026"</f>
        <v>10360518026</v>
      </c>
      <c r="B5398" s="10">
        <v>37.14</v>
      </c>
      <c r="C5398" s="9"/>
      <c r="D5398" s="9">
        <f t="shared" si="84"/>
        <v>37.14</v>
      </c>
      <c r="E5398" s="11"/>
      <c r="F5398" s="9"/>
    </row>
    <row r="5399" s="1" customFormat="1" customHeight="1" spans="1:6">
      <c r="A5399" s="9" t="str">
        <f>"10080518027"</f>
        <v>10080518027</v>
      </c>
      <c r="B5399" s="10">
        <v>0</v>
      </c>
      <c r="C5399" s="9"/>
      <c r="D5399" s="9">
        <f t="shared" si="84"/>
        <v>0</v>
      </c>
      <c r="E5399" s="11"/>
      <c r="F5399" s="9" t="s">
        <v>7</v>
      </c>
    </row>
    <row r="5400" s="1" customFormat="1" customHeight="1" spans="1:6">
      <c r="A5400" s="9" t="str">
        <f>"10440518028"</f>
        <v>10440518028</v>
      </c>
      <c r="B5400" s="10">
        <v>0</v>
      </c>
      <c r="C5400" s="9"/>
      <c r="D5400" s="9">
        <f t="shared" si="84"/>
        <v>0</v>
      </c>
      <c r="E5400" s="11"/>
      <c r="F5400" s="9" t="s">
        <v>7</v>
      </c>
    </row>
    <row r="5401" s="1" customFormat="1" customHeight="1" spans="1:6">
      <c r="A5401" s="9" t="str">
        <f>"10300518029"</f>
        <v>10300518029</v>
      </c>
      <c r="B5401" s="10">
        <v>0</v>
      </c>
      <c r="C5401" s="9"/>
      <c r="D5401" s="9">
        <f t="shared" si="84"/>
        <v>0</v>
      </c>
      <c r="E5401" s="11"/>
      <c r="F5401" s="9" t="s">
        <v>7</v>
      </c>
    </row>
    <row r="5402" s="1" customFormat="1" customHeight="1" spans="1:6">
      <c r="A5402" s="9" t="str">
        <f>"10140518030"</f>
        <v>10140518030</v>
      </c>
      <c r="B5402" s="10">
        <v>43.07</v>
      </c>
      <c r="C5402" s="9"/>
      <c r="D5402" s="9">
        <f t="shared" si="84"/>
        <v>43.07</v>
      </c>
      <c r="E5402" s="11"/>
      <c r="F5402" s="9"/>
    </row>
    <row r="5403" s="1" customFormat="1" customHeight="1" spans="1:6">
      <c r="A5403" s="9" t="str">
        <f>"10360518101"</f>
        <v>10360518101</v>
      </c>
      <c r="B5403" s="10">
        <v>38.34</v>
      </c>
      <c r="C5403" s="9"/>
      <c r="D5403" s="9">
        <f t="shared" si="84"/>
        <v>38.34</v>
      </c>
      <c r="E5403" s="11"/>
      <c r="F5403" s="9"/>
    </row>
    <row r="5404" s="1" customFormat="1" customHeight="1" spans="1:6">
      <c r="A5404" s="9" t="str">
        <f>"10330518102"</f>
        <v>10330518102</v>
      </c>
      <c r="B5404" s="10">
        <v>47.47</v>
      </c>
      <c r="C5404" s="9"/>
      <c r="D5404" s="9">
        <f t="shared" si="84"/>
        <v>47.47</v>
      </c>
      <c r="E5404" s="11"/>
      <c r="F5404" s="9"/>
    </row>
    <row r="5405" s="1" customFormat="1" customHeight="1" spans="1:6">
      <c r="A5405" s="9" t="str">
        <f>"10360518103"</f>
        <v>10360518103</v>
      </c>
      <c r="B5405" s="10">
        <v>0</v>
      </c>
      <c r="C5405" s="9"/>
      <c r="D5405" s="9">
        <f t="shared" si="84"/>
        <v>0</v>
      </c>
      <c r="E5405" s="11"/>
      <c r="F5405" s="9" t="s">
        <v>7</v>
      </c>
    </row>
    <row r="5406" s="1" customFormat="1" customHeight="1" spans="1:6">
      <c r="A5406" s="9" t="str">
        <f>"10300518104"</f>
        <v>10300518104</v>
      </c>
      <c r="B5406" s="10">
        <v>38.85</v>
      </c>
      <c r="C5406" s="9"/>
      <c r="D5406" s="9">
        <f t="shared" si="84"/>
        <v>38.85</v>
      </c>
      <c r="E5406" s="11"/>
      <c r="F5406" s="9"/>
    </row>
    <row r="5407" s="1" customFormat="1" customHeight="1" spans="1:6">
      <c r="A5407" s="9" t="str">
        <f>"10360518105"</f>
        <v>10360518105</v>
      </c>
      <c r="B5407" s="10">
        <v>0</v>
      </c>
      <c r="C5407" s="9"/>
      <c r="D5407" s="9">
        <f t="shared" si="84"/>
        <v>0</v>
      </c>
      <c r="E5407" s="11"/>
      <c r="F5407" s="9" t="s">
        <v>7</v>
      </c>
    </row>
    <row r="5408" s="1" customFormat="1" customHeight="1" spans="1:6">
      <c r="A5408" s="9" t="str">
        <f>"10090518106"</f>
        <v>10090518106</v>
      </c>
      <c r="B5408" s="10">
        <v>0</v>
      </c>
      <c r="C5408" s="9"/>
      <c r="D5408" s="9">
        <f t="shared" si="84"/>
        <v>0</v>
      </c>
      <c r="E5408" s="11"/>
      <c r="F5408" s="9" t="s">
        <v>7</v>
      </c>
    </row>
    <row r="5409" s="1" customFormat="1" customHeight="1" spans="1:6">
      <c r="A5409" s="9" t="str">
        <f>"10510518107"</f>
        <v>10510518107</v>
      </c>
      <c r="B5409" s="10">
        <v>48.5</v>
      </c>
      <c r="C5409" s="9"/>
      <c r="D5409" s="9">
        <f t="shared" si="84"/>
        <v>48.5</v>
      </c>
      <c r="E5409" s="11"/>
      <c r="F5409" s="9"/>
    </row>
    <row r="5410" s="1" customFormat="1" customHeight="1" spans="1:6">
      <c r="A5410" s="9" t="str">
        <f>"10120518108"</f>
        <v>10120518108</v>
      </c>
      <c r="B5410" s="10">
        <v>48.47</v>
      </c>
      <c r="C5410" s="9"/>
      <c r="D5410" s="9">
        <f t="shared" si="84"/>
        <v>48.47</v>
      </c>
      <c r="E5410" s="11"/>
      <c r="F5410" s="9"/>
    </row>
    <row r="5411" s="1" customFormat="1" customHeight="1" spans="1:6">
      <c r="A5411" s="9" t="str">
        <f>"10020518109"</f>
        <v>10020518109</v>
      </c>
      <c r="B5411" s="10">
        <v>34.59</v>
      </c>
      <c r="C5411" s="9"/>
      <c r="D5411" s="9">
        <f t="shared" si="84"/>
        <v>34.59</v>
      </c>
      <c r="E5411" s="11"/>
      <c r="F5411" s="9"/>
    </row>
    <row r="5412" s="1" customFormat="1" customHeight="1" spans="1:6">
      <c r="A5412" s="9" t="str">
        <f>"10410518110"</f>
        <v>10410518110</v>
      </c>
      <c r="B5412" s="10">
        <v>0</v>
      </c>
      <c r="C5412" s="9"/>
      <c r="D5412" s="9">
        <f t="shared" si="84"/>
        <v>0</v>
      </c>
      <c r="E5412" s="11"/>
      <c r="F5412" s="9" t="s">
        <v>7</v>
      </c>
    </row>
    <row r="5413" s="1" customFormat="1" customHeight="1" spans="1:6">
      <c r="A5413" s="9" t="str">
        <f>"10510518111"</f>
        <v>10510518111</v>
      </c>
      <c r="B5413" s="10">
        <v>0</v>
      </c>
      <c r="C5413" s="9"/>
      <c r="D5413" s="9">
        <f t="shared" si="84"/>
        <v>0</v>
      </c>
      <c r="E5413" s="11"/>
      <c r="F5413" s="9" t="s">
        <v>7</v>
      </c>
    </row>
    <row r="5414" s="1" customFormat="1" customHeight="1" spans="1:6">
      <c r="A5414" s="9" t="str">
        <f>"10340518112"</f>
        <v>10340518112</v>
      </c>
      <c r="B5414" s="10">
        <v>40.42</v>
      </c>
      <c r="C5414" s="9"/>
      <c r="D5414" s="9">
        <f t="shared" si="84"/>
        <v>40.42</v>
      </c>
      <c r="E5414" s="11"/>
      <c r="F5414" s="9"/>
    </row>
    <row r="5415" s="1" customFormat="1" customHeight="1" spans="1:6">
      <c r="A5415" s="9" t="str">
        <f>"10300518113"</f>
        <v>10300518113</v>
      </c>
      <c r="B5415" s="10">
        <v>0</v>
      </c>
      <c r="C5415" s="9"/>
      <c r="D5415" s="9">
        <f t="shared" si="84"/>
        <v>0</v>
      </c>
      <c r="E5415" s="11"/>
      <c r="F5415" s="9" t="s">
        <v>7</v>
      </c>
    </row>
    <row r="5416" s="1" customFormat="1" customHeight="1" spans="1:6">
      <c r="A5416" s="9" t="str">
        <f>"10360518114"</f>
        <v>10360518114</v>
      </c>
      <c r="B5416" s="10">
        <v>33.74</v>
      </c>
      <c r="C5416" s="9"/>
      <c r="D5416" s="9">
        <f t="shared" si="84"/>
        <v>33.74</v>
      </c>
      <c r="E5416" s="11"/>
      <c r="F5416" s="9"/>
    </row>
    <row r="5417" s="1" customFormat="1" customHeight="1" spans="1:6">
      <c r="A5417" s="9" t="str">
        <f>"10360518115"</f>
        <v>10360518115</v>
      </c>
      <c r="B5417" s="10">
        <v>0</v>
      </c>
      <c r="C5417" s="9"/>
      <c r="D5417" s="9">
        <f t="shared" si="84"/>
        <v>0</v>
      </c>
      <c r="E5417" s="11"/>
      <c r="F5417" s="9" t="s">
        <v>7</v>
      </c>
    </row>
    <row r="5418" s="1" customFormat="1" customHeight="1" spans="1:6">
      <c r="A5418" s="9" t="str">
        <f>"10330518116"</f>
        <v>10330518116</v>
      </c>
      <c r="B5418" s="10">
        <v>43.03</v>
      </c>
      <c r="C5418" s="9"/>
      <c r="D5418" s="9">
        <f t="shared" si="84"/>
        <v>43.03</v>
      </c>
      <c r="E5418" s="11"/>
      <c r="F5418" s="9"/>
    </row>
    <row r="5419" s="1" customFormat="1" customHeight="1" spans="1:6">
      <c r="A5419" s="9" t="str">
        <f>"10070518117"</f>
        <v>10070518117</v>
      </c>
      <c r="B5419" s="10">
        <v>41.13</v>
      </c>
      <c r="C5419" s="9"/>
      <c r="D5419" s="9">
        <f t="shared" si="84"/>
        <v>41.13</v>
      </c>
      <c r="E5419" s="11"/>
      <c r="F5419" s="9"/>
    </row>
    <row r="5420" s="1" customFormat="1" customHeight="1" spans="1:6">
      <c r="A5420" s="9" t="str">
        <f>"10260518118"</f>
        <v>10260518118</v>
      </c>
      <c r="B5420" s="10">
        <v>39.14</v>
      </c>
      <c r="C5420" s="9"/>
      <c r="D5420" s="9">
        <f t="shared" si="84"/>
        <v>39.14</v>
      </c>
      <c r="E5420" s="11"/>
      <c r="F5420" s="9"/>
    </row>
    <row r="5421" s="1" customFormat="1" customHeight="1" spans="1:6">
      <c r="A5421" s="9" t="str">
        <f>"10060518119"</f>
        <v>10060518119</v>
      </c>
      <c r="B5421" s="10">
        <v>36.53</v>
      </c>
      <c r="C5421" s="9"/>
      <c r="D5421" s="9">
        <f t="shared" si="84"/>
        <v>36.53</v>
      </c>
      <c r="E5421" s="11"/>
      <c r="F5421" s="9"/>
    </row>
    <row r="5422" s="1" customFormat="1" customHeight="1" spans="1:6">
      <c r="A5422" s="9" t="str">
        <f>"10360518120"</f>
        <v>10360518120</v>
      </c>
      <c r="B5422" s="10">
        <v>48.81</v>
      </c>
      <c r="C5422" s="9"/>
      <c r="D5422" s="9">
        <f t="shared" si="84"/>
        <v>48.81</v>
      </c>
      <c r="E5422" s="11"/>
      <c r="F5422" s="9"/>
    </row>
    <row r="5423" s="1" customFormat="1" customHeight="1" spans="1:6">
      <c r="A5423" s="9" t="str">
        <f>"10360518121"</f>
        <v>10360518121</v>
      </c>
      <c r="B5423" s="10">
        <v>0</v>
      </c>
      <c r="C5423" s="9"/>
      <c r="D5423" s="9">
        <f t="shared" si="84"/>
        <v>0</v>
      </c>
      <c r="E5423" s="11"/>
      <c r="F5423" s="9" t="s">
        <v>7</v>
      </c>
    </row>
    <row r="5424" s="1" customFormat="1" customHeight="1" spans="1:6">
      <c r="A5424" s="9" t="str">
        <f>"10210518122"</f>
        <v>10210518122</v>
      </c>
      <c r="B5424" s="10">
        <v>30.97</v>
      </c>
      <c r="C5424" s="9"/>
      <c r="D5424" s="9">
        <f t="shared" si="84"/>
        <v>30.97</v>
      </c>
      <c r="E5424" s="11"/>
      <c r="F5424" s="9"/>
    </row>
    <row r="5425" s="1" customFormat="1" customHeight="1" spans="1:6">
      <c r="A5425" s="9" t="str">
        <f>"10230518123"</f>
        <v>10230518123</v>
      </c>
      <c r="B5425" s="10">
        <v>0</v>
      </c>
      <c r="C5425" s="9"/>
      <c r="D5425" s="9">
        <f t="shared" si="84"/>
        <v>0</v>
      </c>
      <c r="E5425" s="11"/>
      <c r="F5425" s="9" t="s">
        <v>7</v>
      </c>
    </row>
    <row r="5426" s="1" customFormat="1" customHeight="1" spans="1:6">
      <c r="A5426" s="9" t="str">
        <f>"10530518124"</f>
        <v>10530518124</v>
      </c>
      <c r="B5426" s="10">
        <v>41.06</v>
      </c>
      <c r="C5426" s="9"/>
      <c r="D5426" s="9">
        <f t="shared" si="84"/>
        <v>41.06</v>
      </c>
      <c r="E5426" s="11"/>
      <c r="F5426" s="9"/>
    </row>
    <row r="5427" s="1" customFormat="1" customHeight="1" spans="1:6">
      <c r="A5427" s="9" t="str">
        <f>"20270518125"</f>
        <v>20270518125</v>
      </c>
      <c r="B5427" s="10">
        <v>50.45</v>
      </c>
      <c r="C5427" s="9"/>
      <c r="D5427" s="9">
        <f t="shared" si="84"/>
        <v>50.45</v>
      </c>
      <c r="E5427" s="11"/>
      <c r="F5427" s="9"/>
    </row>
    <row r="5428" s="1" customFormat="1" customHeight="1" spans="1:6">
      <c r="A5428" s="9" t="str">
        <f>"10440518126"</f>
        <v>10440518126</v>
      </c>
      <c r="B5428" s="10">
        <v>47.61</v>
      </c>
      <c r="C5428" s="9"/>
      <c r="D5428" s="9">
        <f t="shared" si="84"/>
        <v>47.61</v>
      </c>
      <c r="E5428" s="11"/>
      <c r="F5428" s="9"/>
    </row>
    <row r="5429" s="1" customFormat="1" customHeight="1" spans="1:6">
      <c r="A5429" s="9" t="str">
        <f>"10440518127"</f>
        <v>10440518127</v>
      </c>
      <c r="B5429" s="10">
        <v>31.64</v>
      </c>
      <c r="C5429" s="9"/>
      <c r="D5429" s="9">
        <f t="shared" si="84"/>
        <v>31.64</v>
      </c>
      <c r="E5429" s="11"/>
      <c r="F5429" s="9"/>
    </row>
    <row r="5430" s="1" customFormat="1" customHeight="1" spans="1:6">
      <c r="A5430" s="9" t="str">
        <f>"10300518128"</f>
        <v>10300518128</v>
      </c>
      <c r="B5430" s="10">
        <v>36.63</v>
      </c>
      <c r="C5430" s="9"/>
      <c r="D5430" s="9">
        <f t="shared" si="84"/>
        <v>36.63</v>
      </c>
      <c r="E5430" s="11"/>
      <c r="F5430" s="9"/>
    </row>
    <row r="5431" s="1" customFormat="1" customHeight="1" spans="1:6">
      <c r="A5431" s="9" t="str">
        <f>"10360518129"</f>
        <v>10360518129</v>
      </c>
      <c r="B5431" s="10">
        <v>41.86</v>
      </c>
      <c r="C5431" s="9"/>
      <c r="D5431" s="9">
        <f t="shared" si="84"/>
        <v>41.86</v>
      </c>
      <c r="E5431" s="11"/>
      <c r="F5431" s="9"/>
    </row>
    <row r="5432" s="1" customFormat="1" customHeight="1" spans="1:6">
      <c r="A5432" s="9" t="str">
        <f>"10270518130"</f>
        <v>10270518130</v>
      </c>
      <c r="B5432" s="10">
        <v>39.85</v>
      </c>
      <c r="C5432" s="9"/>
      <c r="D5432" s="9">
        <f t="shared" si="84"/>
        <v>39.85</v>
      </c>
      <c r="E5432" s="11"/>
      <c r="F5432" s="9"/>
    </row>
    <row r="5433" s="1" customFormat="1" customHeight="1" spans="1:6">
      <c r="A5433" s="9" t="str">
        <f>"10060518201"</f>
        <v>10060518201</v>
      </c>
      <c r="B5433" s="10">
        <v>36.5</v>
      </c>
      <c r="C5433" s="9"/>
      <c r="D5433" s="9">
        <f t="shared" si="84"/>
        <v>36.5</v>
      </c>
      <c r="E5433" s="11"/>
      <c r="F5433" s="9"/>
    </row>
    <row r="5434" s="1" customFormat="1" customHeight="1" spans="1:6">
      <c r="A5434" s="9" t="str">
        <f>"10380518202"</f>
        <v>10380518202</v>
      </c>
      <c r="B5434" s="10">
        <v>44.6</v>
      </c>
      <c r="C5434" s="9"/>
      <c r="D5434" s="9">
        <f t="shared" si="84"/>
        <v>44.6</v>
      </c>
      <c r="E5434" s="11"/>
      <c r="F5434" s="9"/>
    </row>
    <row r="5435" s="1" customFormat="1" customHeight="1" spans="1:6">
      <c r="A5435" s="9" t="str">
        <f>"10040518203"</f>
        <v>10040518203</v>
      </c>
      <c r="B5435" s="10">
        <v>35.71</v>
      </c>
      <c r="C5435" s="9"/>
      <c r="D5435" s="9">
        <f t="shared" si="84"/>
        <v>35.71</v>
      </c>
      <c r="E5435" s="11"/>
      <c r="F5435" s="9"/>
    </row>
    <row r="5436" s="1" customFormat="1" customHeight="1" spans="1:6">
      <c r="A5436" s="9" t="str">
        <f>"10170518204"</f>
        <v>10170518204</v>
      </c>
      <c r="B5436" s="10">
        <v>33.99</v>
      </c>
      <c r="C5436" s="9"/>
      <c r="D5436" s="9">
        <f t="shared" si="84"/>
        <v>33.99</v>
      </c>
      <c r="E5436" s="11"/>
      <c r="F5436" s="9"/>
    </row>
    <row r="5437" s="1" customFormat="1" customHeight="1" spans="1:6">
      <c r="A5437" s="9" t="str">
        <f>"10420518205"</f>
        <v>10420518205</v>
      </c>
      <c r="B5437" s="10">
        <v>37.27</v>
      </c>
      <c r="C5437" s="9"/>
      <c r="D5437" s="9">
        <f t="shared" si="84"/>
        <v>37.27</v>
      </c>
      <c r="E5437" s="11"/>
      <c r="F5437" s="9"/>
    </row>
    <row r="5438" s="1" customFormat="1" customHeight="1" spans="1:6">
      <c r="A5438" s="9" t="str">
        <f>"10200518206"</f>
        <v>10200518206</v>
      </c>
      <c r="B5438" s="10">
        <v>0</v>
      </c>
      <c r="C5438" s="9"/>
      <c r="D5438" s="9">
        <f t="shared" si="84"/>
        <v>0</v>
      </c>
      <c r="E5438" s="11"/>
      <c r="F5438" s="9" t="s">
        <v>7</v>
      </c>
    </row>
    <row r="5439" s="1" customFormat="1" customHeight="1" spans="1:6">
      <c r="A5439" s="9" t="str">
        <f>"10110518207"</f>
        <v>10110518207</v>
      </c>
      <c r="B5439" s="10">
        <v>48.93</v>
      </c>
      <c r="C5439" s="9"/>
      <c r="D5439" s="9">
        <f t="shared" si="84"/>
        <v>48.93</v>
      </c>
      <c r="E5439" s="11"/>
      <c r="F5439" s="9"/>
    </row>
    <row r="5440" s="1" customFormat="1" customHeight="1" spans="1:6">
      <c r="A5440" s="9" t="str">
        <f>"10130518208"</f>
        <v>10130518208</v>
      </c>
      <c r="B5440" s="10">
        <v>28.61</v>
      </c>
      <c r="C5440" s="9"/>
      <c r="D5440" s="9">
        <f t="shared" si="84"/>
        <v>28.61</v>
      </c>
      <c r="E5440" s="11"/>
      <c r="F5440" s="9"/>
    </row>
    <row r="5441" s="1" customFormat="1" customHeight="1" spans="1:6">
      <c r="A5441" s="9" t="str">
        <f>"10530518209"</f>
        <v>10530518209</v>
      </c>
      <c r="B5441" s="10">
        <v>44.22</v>
      </c>
      <c r="C5441" s="9"/>
      <c r="D5441" s="9">
        <f t="shared" si="84"/>
        <v>44.22</v>
      </c>
      <c r="E5441" s="11"/>
      <c r="F5441" s="9"/>
    </row>
    <row r="5442" s="1" customFormat="1" customHeight="1" spans="1:6">
      <c r="A5442" s="9" t="str">
        <f>"10300518210"</f>
        <v>10300518210</v>
      </c>
      <c r="B5442" s="10">
        <v>0</v>
      </c>
      <c r="C5442" s="9"/>
      <c r="D5442" s="9">
        <f t="shared" si="84"/>
        <v>0</v>
      </c>
      <c r="E5442" s="11"/>
      <c r="F5442" s="9" t="s">
        <v>7</v>
      </c>
    </row>
    <row r="5443" s="1" customFormat="1" customHeight="1" spans="1:6">
      <c r="A5443" s="9" t="str">
        <f>"10530518211"</f>
        <v>10530518211</v>
      </c>
      <c r="B5443" s="10">
        <v>0</v>
      </c>
      <c r="C5443" s="9"/>
      <c r="D5443" s="9">
        <f t="shared" ref="D5443:D5506" si="85">SUM(B5443:C5443)</f>
        <v>0</v>
      </c>
      <c r="E5443" s="11"/>
      <c r="F5443" s="9" t="s">
        <v>7</v>
      </c>
    </row>
    <row r="5444" s="1" customFormat="1" customHeight="1" spans="1:6">
      <c r="A5444" s="9" t="str">
        <f>"10140518212"</f>
        <v>10140518212</v>
      </c>
      <c r="B5444" s="10">
        <v>0</v>
      </c>
      <c r="C5444" s="9"/>
      <c r="D5444" s="9">
        <f t="shared" si="85"/>
        <v>0</v>
      </c>
      <c r="E5444" s="11"/>
      <c r="F5444" s="9" t="s">
        <v>7</v>
      </c>
    </row>
    <row r="5445" s="1" customFormat="1" customHeight="1" spans="1:6">
      <c r="A5445" s="9" t="str">
        <f>"10510518213"</f>
        <v>10510518213</v>
      </c>
      <c r="B5445" s="10">
        <v>34.27</v>
      </c>
      <c r="C5445" s="9"/>
      <c r="D5445" s="9">
        <f t="shared" si="85"/>
        <v>34.27</v>
      </c>
      <c r="E5445" s="11"/>
      <c r="F5445" s="9"/>
    </row>
    <row r="5446" s="1" customFormat="1" customHeight="1" spans="1:6">
      <c r="A5446" s="9" t="str">
        <f>"10440518214"</f>
        <v>10440518214</v>
      </c>
      <c r="B5446" s="10">
        <v>40.77</v>
      </c>
      <c r="C5446" s="9"/>
      <c r="D5446" s="9">
        <f t="shared" si="85"/>
        <v>40.77</v>
      </c>
      <c r="E5446" s="11"/>
      <c r="F5446" s="9"/>
    </row>
    <row r="5447" s="1" customFormat="1" customHeight="1" spans="1:6">
      <c r="A5447" s="9" t="str">
        <f>"10240518215"</f>
        <v>10240518215</v>
      </c>
      <c r="B5447" s="10">
        <v>41.38</v>
      </c>
      <c r="C5447" s="9"/>
      <c r="D5447" s="9">
        <f t="shared" si="85"/>
        <v>41.38</v>
      </c>
      <c r="E5447" s="11"/>
      <c r="F5447" s="9"/>
    </row>
    <row r="5448" s="1" customFormat="1" customHeight="1" spans="1:6">
      <c r="A5448" s="9" t="str">
        <f>"10410518216"</f>
        <v>10410518216</v>
      </c>
      <c r="B5448" s="10">
        <v>47.64</v>
      </c>
      <c r="C5448" s="9"/>
      <c r="D5448" s="9">
        <f t="shared" si="85"/>
        <v>47.64</v>
      </c>
      <c r="E5448" s="11"/>
      <c r="F5448" s="9"/>
    </row>
    <row r="5449" s="1" customFormat="1" customHeight="1" spans="1:6">
      <c r="A5449" s="9" t="str">
        <f>"20270518217"</f>
        <v>20270518217</v>
      </c>
      <c r="B5449" s="10">
        <v>42.5</v>
      </c>
      <c r="C5449" s="9"/>
      <c r="D5449" s="9">
        <f t="shared" si="85"/>
        <v>42.5</v>
      </c>
      <c r="E5449" s="11"/>
      <c r="F5449" s="9"/>
    </row>
    <row r="5450" s="1" customFormat="1" customHeight="1" spans="1:6">
      <c r="A5450" s="9" t="str">
        <f>"10080518218"</f>
        <v>10080518218</v>
      </c>
      <c r="B5450" s="10">
        <v>0</v>
      </c>
      <c r="C5450" s="9"/>
      <c r="D5450" s="9">
        <f t="shared" si="85"/>
        <v>0</v>
      </c>
      <c r="E5450" s="11"/>
      <c r="F5450" s="9" t="s">
        <v>7</v>
      </c>
    </row>
    <row r="5451" s="1" customFormat="1" customHeight="1" spans="1:6">
      <c r="A5451" s="9" t="str">
        <f>"10360518219"</f>
        <v>10360518219</v>
      </c>
      <c r="B5451" s="10">
        <v>0</v>
      </c>
      <c r="C5451" s="9"/>
      <c r="D5451" s="9">
        <f t="shared" si="85"/>
        <v>0</v>
      </c>
      <c r="E5451" s="11"/>
      <c r="F5451" s="9" t="s">
        <v>7</v>
      </c>
    </row>
    <row r="5452" s="1" customFormat="1" customHeight="1" spans="1:6">
      <c r="A5452" s="9" t="str">
        <f>"10060518220"</f>
        <v>10060518220</v>
      </c>
      <c r="B5452" s="10">
        <v>0</v>
      </c>
      <c r="C5452" s="9"/>
      <c r="D5452" s="9">
        <f t="shared" si="85"/>
        <v>0</v>
      </c>
      <c r="E5452" s="11"/>
      <c r="F5452" s="9" t="s">
        <v>7</v>
      </c>
    </row>
    <row r="5453" s="1" customFormat="1" customHeight="1" spans="1:6">
      <c r="A5453" s="9" t="str">
        <f>"10030518221"</f>
        <v>10030518221</v>
      </c>
      <c r="B5453" s="10">
        <v>0</v>
      </c>
      <c r="C5453" s="9"/>
      <c r="D5453" s="9">
        <f t="shared" si="85"/>
        <v>0</v>
      </c>
      <c r="E5453" s="11"/>
      <c r="F5453" s="9" t="s">
        <v>7</v>
      </c>
    </row>
    <row r="5454" s="1" customFormat="1" customHeight="1" spans="1:6">
      <c r="A5454" s="9" t="str">
        <f>"10170518222"</f>
        <v>10170518222</v>
      </c>
      <c r="B5454" s="10">
        <v>0</v>
      </c>
      <c r="C5454" s="9"/>
      <c r="D5454" s="9">
        <f t="shared" si="85"/>
        <v>0</v>
      </c>
      <c r="E5454" s="11"/>
      <c r="F5454" s="9" t="s">
        <v>7</v>
      </c>
    </row>
    <row r="5455" s="1" customFormat="1" customHeight="1" spans="1:6">
      <c r="A5455" s="9" t="str">
        <f>"10130518223"</f>
        <v>10130518223</v>
      </c>
      <c r="B5455" s="10">
        <v>42.78</v>
      </c>
      <c r="C5455" s="9"/>
      <c r="D5455" s="9">
        <f t="shared" si="85"/>
        <v>42.78</v>
      </c>
      <c r="E5455" s="11"/>
      <c r="F5455" s="9"/>
    </row>
    <row r="5456" s="1" customFormat="1" customHeight="1" spans="1:6">
      <c r="A5456" s="9" t="str">
        <f>"10360518224"</f>
        <v>10360518224</v>
      </c>
      <c r="B5456" s="10">
        <v>0</v>
      </c>
      <c r="C5456" s="9"/>
      <c r="D5456" s="9">
        <f t="shared" si="85"/>
        <v>0</v>
      </c>
      <c r="E5456" s="11"/>
      <c r="F5456" s="9" t="s">
        <v>7</v>
      </c>
    </row>
    <row r="5457" s="1" customFormat="1" customHeight="1" spans="1:6">
      <c r="A5457" s="9" t="str">
        <f>"10060518225"</f>
        <v>10060518225</v>
      </c>
      <c r="B5457" s="10">
        <v>33.44</v>
      </c>
      <c r="C5457" s="9"/>
      <c r="D5457" s="9">
        <f t="shared" si="85"/>
        <v>33.44</v>
      </c>
      <c r="E5457" s="11"/>
      <c r="F5457" s="9"/>
    </row>
    <row r="5458" s="1" customFormat="1" customHeight="1" spans="1:6">
      <c r="A5458" s="9" t="str">
        <f>"10080518226"</f>
        <v>10080518226</v>
      </c>
      <c r="B5458" s="10">
        <v>38.45</v>
      </c>
      <c r="C5458" s="9"/>
      <c r="D5458" s="9">
        <f t="shared" si="85"/>
        <v>38.45</v>
      </c>
      <c r="E5458" s="11"/>
      <c r="F5458" s="9"/>
    </row>
    <row r="5459" s="1" customFormat="1" customHeight="1" spans="1:6">
      <c r="A5459" s="9" t="str">
        <f>"10320518227"</f>
        <v>10320518227</v>
      </c>
      <c r="B5459" s="10">
        <v>45.4</v>
      </c>
      <c r="C5459" s="9"/>
      <c r="D5459" s="9">
        <f t="shared" si="85"/>
        <v>45.4</v>
      </c>
      <c r="E5459" s="11"/>
      <c r="F5459" s="9"/>
    </row>
    <row r="5460" s="1" customFormat="1" customHeight="1" spans="1:6">
      <c r="A5460" s="9" t="str">
        <f>"10490518228"</f>
        <v>10490518228</v>
      </c>
      <c r="B5460" s="10">
        <v>39.08</v>
      </c>
      <c r="C5460" s="9"/>
      <c r="D5460" s="9">
        <f t="shared" si="85"/>
        <v>39.08</v>
      </c>
      <c r="E5460" s="11"/>
      <c r="F5460" s="9"/>
    </row>
    <row r="5461" s="1" customFormat="1" customHeight="1" spans="1:6">
      <c r="A5461" s="9" t="str">
        <f>"10440518229"</f>
        <v>10440518229</v>
      </c>
      <c r="B5461" s="10">
        <v>44.61</v>
      </c>
      <c r="C5461" s="9"/>
      <c r="D5461" s="9">
        <f t="shared" si="85"/>
        <v>44.61</v>
      </c>
      <c r="E5461" s="11"/>
      <c r="F5461" s="9"/>
    </row>
    <row r="5462" s="1" customFormat="1" customHeight="1" spans="1:6">
      <c r="A5462" s="9" t="str">
        <f>"10080518230"</f>
        <v>10080518230</v>
      </c>
      <c r="B5462" s="10">
        <v>0</v>
      </c>
      <c r="C5462" s="9"/>
      <c r="D5462" s="9">
        <f t="shared" si="85"/>
        <v>0</v>
      </c>
      <c r="E5462" s="11"/>
      <c r="F5462" s="9" t="s">
        <v>7</v>
      </c>
    </row>
    <row r="5463" s="1" customFormat="1" customHeight="1" spans="1:6">
      <c r="A5463" s="9" t="str">
        <f>"10520518301"</f>
        <v>10520518301</v>
      </c>
      <c r="B5463" s="10">
        <v>44.9</v>
      </c>
      <c r="C5463" s="9"/>
      <c r="D5463" s="9">
        <f t="shared" si="85"/>
        <v>44.9</v>
      </c>
      <c r="E5463" s="11"/>
      <c r="F5463" s="9"/>
    </row>
    <row r="5464" s="1" customFormat="1" customHeight="1" spans="1:6">
      <c r="A5464" s="9" t="str">
        <f>"10360518302"</f>
        <v>10360518302</v>
      </c>
      <c r="B5464" s="10">
        <v>41.97</v>
      </c>
      <c r="C5464" s="9">
        <v>10</v>
      </c>
      <c r="D5464" s="9">
        <f t="shared" si="85"/>
        <v>51.97</v>
      </c>
      <c r="E5464" s="12" t="s">
        <v>8</v>
      </c>
      <c r="F5464" s="9"/>
    </row>
    <row r="5465" s="1" customFormat="1" customHeight="1" spans="1:6">
      <c r="A5465" s="9" t="str">
        <f>"10360518303"</f>
        <v>10360518303</v>
      </c>
      <c r="B5465" s="10">
        <v>41.61</v>
      </c>
      <c r="C5465" s="9"/>
      <c r="D5465" s="9">
        <f t="shared" si="85"/>
        <v>41.61</v>
      </c>
      <c r="E5465" s="11"/>
      <c r="F5465" s="9"/>
    </row>
    <row r="5466" s="1" customFormat="1" customHeight="1" spans="1:6">
      <c r="A5466" s="9" t="str">
        <f>"10080518304"</f>
        <v>10080518304</v>
      </c>
      <c r="B5466" s="10">
        <v>0</v>
      </c>
      <c r="C5466" s="9"/>
      <c r="D5466" s="9">
        <f t="shared" si="85"/>
        <v>0</v>
      </c>
      <c r="E5466" s="11"/>
      <c r="F5466" s="9" t="s">
        <v>7</v>
      </c>
    </row>
    <row r="5467" s="1" customFormat="1" customHeight="1" spans="1:6">
      <c r="A5467" s="9" t="str">
        <f>"10360518305"</f>
        <v>10360518305</v>
      </c>
      <c r="B5467" s="10">
        <v>0</v>
      </c>
      <c r="C5467" s="9"/>
      <c r="D5467" s="9">
        <f t="shared" si="85"/>
        <v>0</v>
      </c>
      <c r="E5467" s="11"/>
      <c r="F5467" s="9" t="s">
        <v>7</v>
      </c>
    </row>
    <row r="5468" s="1" customFormat="1" customHeight="1" spans="1:6">
      <c r="A5468" s="9" t="str">
        <f>"10530518306"</f>
        <v>10530518306</v>
      </c>
      <c r="B5468" s="10">
        <v>42.29</v>
      </c>
      <c r="C5468" s="9"/>
      <c r="D5468" s="9">
        <f t="shared" si="85"/>
        <v>42.29</v>
      </c>
      <c r="E5468" s="11"/>
      <c r="F5468" s="9"/>
    </row>
    <row r="5469" s="1" customFormat="1" customHeight="1" spans="1:6">
      <c r="A5469" s="9" t="str">
        <f>"10100518307"</f>
        <v>10100518307</v>
      </c>
      <c r="B5469" s="10">
        <v>0</v>
      </c>
      <c r="C5469" s="9"/>
      <c r="D5469" s="9">
        <f t="shared" si="85"/>
        <v>0</v>
      </c>
      <c r="E5469" s="11"/>
      <c r="F5469" s="9" t="s">
        <v>7</v>
      </c>
    </row>
    <row r="5470" s="1" customFormat="1" customHeight="1" spans="1:6">
      <c r="A5470" s="9" t="str">
        <f>"10330518308"</f>
        <v>10330518308</v>
      </c>
      <c r="B5470" s="10">
        <v>45.1</v>
      </c>
      <c r="C5470" s="9"/>
      <c r="D5470" s="9">
        <f t="shared" si="85"/>
        <v>45.1</v>
      </c>
      <c r="E5470" s="11"/>
      <c r="F5470" s="9"/>
    </row>
    <row r="5471" s="1" customFormat="1" customHeight="1" spans="1:6">
      <c r="A5471" s="9" t="str">
        <f>"10120518309"</f>
        <v>10120518309</v>
      </c>
      <c r="B5471" s="10">
        <v>0</v>
      </c>
      <c r="C5471" s="9"/>
      <c r="D5471" s="9">
        <f t="shared" si="85"/>
        <v>0</v>
      </c>
      <c r="E5471" s="11"/>
      <c r="F5471" s="9" t="s">
        <v>7</v>
      </c>
    </row>
    <row r="5472" s="1" customFormat="1" customHeight="1" spans="1:6">
      <c r="A5472" s="9" t="str">
        <f>"10530518310"</f>
        <v>10530518310</v>
      </c>
      <c r="B5472" s="10">
        <v>0</v>
      </c>
      <c r="C5472" s="9"/>
      <c r="D5472" s="9">
        <f t="shared" si="85"/>
        <v>0</v>
      </c>
      <c r="E5472" s="11"/>
      <c r="F5472" s="9" t="s">
        <v>7</v>
      </c>
    </row>
    <row r="5473" s="1" customFormat="1" customHeight="1" spans="1:6">
      <c r="A5473" s="9" t="str">
        <f>"10080518311"</f>
        <v>10080518311</v>
      </c>
      <c r="B5473" s="10">
        <v>44.18</v>
      </c>
      <c r="C5473" s="9"/>
      <c r="D5473" s="9">
        <f t="shared" si="85"/>
        <v>44.18</v>
      </c>
      <c r="E5473" s="11"/>
      <c r="F5473" s="9"/>
    </row>
    <row r="5474" s="1" customFormat="1" customHeight="1" spans="1:6">
      <c r="A5474" s="9" t="str">
        <f>"10530518312"</f>
        <v>10530518312</v>
      </c>
      <c r="B5474" s="10">
        <v>30.67</v>
      </c>
      <c r="C5474" s="9"/>
      <c r="D5474" s="9">
        <f t="shared" si="85"/>
        <v>30.67</v>
      </c>
      <c r="E5474" s="11"/>
      <c r="F5474" s="9"/>
    </row>
    <row r="5475" s="1" customFormat="1" customHeight="1" spans="1:6">
      <c r="A5475" s="9" t="str">
        <f>"10210518313"</f>
        <v>10210518313</v>
      </c>
      <c r="B5475" s="10">
        <v>36.12</v>
      </c>
      <c r="C5475" s="9"/>
      <c r="D5475" s="9">
        <f t="shared" si="85"/>
        <v>36.12</v>
      </c>
      <c r="E5475" s="11"/>
      <c r="F5475" s="9"/>
    </row>
    <row r="5476" s="1" customFormat="1" customHeight="1" spans="1:6">
      <c r="A5476" s="9" t="str">
        <f>"10520518314"</f>
        <v>10520518314</v>
      </c>
      <c r="B5476" s="10">
        <v>38.6</v>
      </c>
      <c r="C5476" s="9"/>
      <c r="D5476" s="9">
        <f t="shared" si="85"/>
        <v>38.6</v>
      </c>
      <c r="E5476" s="11"/>
      <c r="F5476" s="9"/>
    </row>
    <row r="5477" s="1" customFormat="1" customHeight="1" spans="1:6">
      <c r="A5477" s="9" t="str">
        <f>"10360518315"</f>
        <v>10360518315</v>
      </c>
      <c r="B5477" s="10">
        <v>0</v>
      </c>
      <c r="C5477" s="9"/>
      <c r="D5477" s="9">
        <f t="shared" si="85"/>
        <v>0</v>
      </c>
      <c r="E5477" s="11"/>
      <c r="F5477" s="9" t="s">
        <v>7</v>
      </c>
    </row>
    <row r="5478" s="1" customFormat="1" customHeight="1" spans="1:6">
      <c r="A5478" s="9" t="str">
        <f>"10090518316"</f>
        <v>10090518316</v>
      </c>
      <c r="B5478" s="10">
        <v>42.23</v>
      </c>
      <c r="C5478" s="9"/>
      <c r="D5478" s="9">
        <f t="shared" si="85"/>
        <v>42.23</v>
      </c>
      <c r="E5478" s="11"/>
      <c r="F5478" s="9"/>
    </row>
    <row r="5479" s="1" customFormat="1" customHeight="1" spans="1:6">
      <c r="A5479" s="9" t="str">
        <f>"10530518317"</f>
        <v>10530518317</v>
      </c>
      <c r="B5479" s="10">
        <v>31.99</v>
      </c>
      <c r="C5479" s="9"/>
      <c r="D5479" s="9">
        <f t="shared" si="85"/>
        <v>31.99</v>
      </c>
      <c r="E5479" s="11"/>
      <c r="F5479" s="9"/>
    </row>
    <row r="5480" s="1" customFormat="1" customHeight="1" spans="1:6">
      <c r="A5480" s="9" t="str">
        <f>"10060518318"</f>
        <v>10060518318</v>
      </c>
      <c r="B5480" s="10">
        <v>41.88</v>
      </c>
      <c r="C5480" s="9"/>
      <c r="D5480" s="9">
        <f t="shared" si="85"/>
        <v>41.88</v>
      </c>
      <c r="E5480" s="11"/>
      <c r="F5480" s="9"/>
    </row>
    <row r="5481" s="1" customFormat="1" customHeight="1" spans="1:6">
      <c r="A5481" s="9" t="str">
        <f>"10090518319"</f>
        <v>10090518319</v>
      </c>
      <c r="B5481" s="10">
        <v>0</v>
      </c>
      <c r="C5481" s="9"/>
      <c r="D5481" s="9">
        <f t="shared" si="85"/>
        <v>0</v>
      </c>
      <c r="E5481" s="11"/>
      <c r="F5481" s="9" t="s">
        <v>7</v>
      </c>
    </row>
    <row r="5482" s="1" customFormat="1" customHeight="1" spans="1:6">
      <c r="A5482" s="9" t="str">
        <f>"10180518320"</f>
        <v>10180518320</v>
      </c>
      <c r="B5482" s="10">
        <v>0</v>
      </c>
      <c r="C5482" s="9"/>
      <c r="D5482" s="9">
        <f t="shared" si="85"/>
        <v>0</v>
      </c>
      <c r="E5482" s="11"/>
      <c r="F5482" s="9" t="s">
        <v>7</v>
      </c>
    </row>
    <row r="5483" s="1" customFormat="1" customHeight="1" spans="1:6">
      <c r="A5483" s="9" t="str">
        <f>"10100518321"</f>
        <v>10100518321</v>
      </c>
      <c r="B5483" s="10">
        <v>45.84</v>
      </c>
      <c r="C5483" s="9"/>
      <c r="D5483" s="9">
        <f t="shared" si="85"/>
        <v>45.84</v>
      </c>
      <c r="E5483" s="11"/>
      <c r="F5483" s="9"/>
    </row>
    <row r="5484" s="1" customFormat="1" customHeight="1" spans="1:6">
      <c r="A5484" s="9" t="str">
        <f>"10530518322"</f>
        <v>10530518322</v>
      </c>
      <c r="B5484" s="10">
        <v>0</v>
      </c>
      <c r="C5484" s="9"/>
      <c r="D5484" s="9">
        <f t="shared" si="85"/>
        <v>0</v>
      </c>
      <c r="E5484" s="11"/>
      <c r="F5484" s="9" t="s">
        <v>7</v>
      </c>
    </row>
    <row r="5485" s="1" customFormat="1" customHeight="1" spans="1:6">
      <c r="A5485" s="9" t="str">
        <f>"10320518323"</f>
        <v>10320518323</v>
      </c>
      <c r="B5485" s="10">
        <v>45.33</v>
      </c>
      <c r="C5485" s="9"/>
      <c r="D5485" s="9">
        <f t="shared" si="85"/>
        <v>45.33</v>
      </c>
      <c r="E5485" s="11"/>
      <c r="F5485" s="9"/>
    </row>
    <row r="5486" s="1" customFormat="1" customHeight="1" spans="1:6">
      <c r="A5486" s="9" t="str">
        <f>"10430518324"</f>
        <v>10430518324</v>
      </c>
      <c r="B5486" s="10">
        <v>37.21</v>
      </c>
      <c r="C5486" s="9"/>
      <c r="D5486" s="9">
        <f t="shared" si="85"/>
        <v>37.21</v>
      </c>
      <c r="E5486" s="11"/>
      <c r="F5486" s="9"/>
    </row>
    <row r="5487" s="1" customFormat="1" customHeight="1" spans="1:6">
      <c r="A5487" s="9" t="str">
        <f>"10160518325"</f>
        <v>10160518325</v>
      </c>
      <c r="B5487" s="10">
        <v>44.4</v>
      </c>
      <c r="C5487" s="9"/>
      <c r="D5487" s="9">
        <f t="shared" si="85"/>
        <v>44.4</v>
      </c>
      <c r="E5487" s="11"/>
      <c r="F5487" s="9"/>
    </row>
    <row r="5488" s="1" customFormat="1" customHeight="1" spans="1:6">
      <c r="A5488" s="9" t="str">
        <f>"10110518326"</f>
        <v>10110518326</v>
      </c>
      <c r="B5488" s="10">
        <v>0</v>
      </c>
      <c r="C5488" s="9"/>
      <c r="D5488" s="9">
        <f t="shared" si="85"/>
        <v>0</v>
      </c>
      <c r="E5488" s="11"/>
      <c r="F5488" s="9" t="s">
        <v>7</v>
      </c>
    </row>
    <row r="5489" s="1" customFormat="1" customHeight="1" spans="1:6">
      <c r="A5489" s="9" t="str">
        <f>"10060518327"</f>
        <v>10060518327</v>
      </c>
      <c r="B5489" s="10">
        <v>37.19</v>
      </c>
      <c r="C5489" s="9"/>
      <c r="D5489" s="9">
        <f t="shared" si="85"/>
        <v>37.19</v>
      </c>
      <c r="E5489" s="11"/>
      <c r="F5489" s="9"/>
    </row>
    <row r="5490" s="1" customFormat="1" customHeight="1" spans="1:6">
      <c r="A5490" s="9" t="str">
        <f>"10470518328"</f>
        <v>10470518328</v>
      </c>
      <c r="B5490" s="10">
        <v>0</v>
      </c>
      <c r="C5490" s="9"/>
      <c r="D5490" s="9">
        <f t="shared" si="85"/>
        <v>0</v>
      </c>
      <c r="E5490" s="11"/>
      <c r="F5490" s="9" t="s">
        <v>7</v>
      </c>
    </row>
    <row r="5491" s="1" customFormat="1" customHeight="1" spans="1:6">
      <c r="A5491" s="9" t="str">
        <f>"10300518329"</f>
        <v>10300518329</v>
      </c>
      <c r="B5491" s="10">
        <v>46.45</v>
      </c>
      <c r="C5491" s="9"/>
      <c r="D5491" s="9">
        <f t="shared" si="85"/>
        <v>46.45</v>
      </c>
      <c r="E5491" s="11"/>
      <c r="F5491" s="9"/>
    </row>
    <row r="5492" s="1" customFormat="1" customHeight="1" spans="1:6">
      <c r="A5492" s="9" t="str">
        <f>"20270518330"</f>
        <v>20270518330</v>
      </c>
      <c r="B5492" s="10">
        <v>48.74</v>
      </c>
      <c r="C5492" s="9"/>
      <c r="D5492" s="9">
        <f t="shared" si="85"/>
        <v>48.74</v>
      </c>
      <c r="E5492" s="11"/>
      <c r="F5492" s="9"/>
    </row>
    <row r="5493" s="1" customFormat="1" customHeight="1" spans="1:6">
      <c r="A5493" s="9" t="str">
        <f>"10070518401"</f>
        <v>10070518401</v>
      </c>
      <c r="B5493" s="10">
        <v>0</v>
      </c>
      <c r="C5493" s="9"/>
      <c r="D5493" s="9">
        <f t="shared" si="85"/>
        <v>0</v>
      </c>
      <c r="E5493" s="11"/>
      <c r="F5493" s="9" t="s">
        <v>7</v>
      </c>
    </row>
    <row r="5494" s="1" customFormat="1" customHeight="1" spans="1:6">
      <c r="A5494" s="9" t="str">
        <f>"20270518402"</f>
        <v>20270518402</v>
      </c>
      <c r="B5494" s="10">
        <v>34.96</v>
      </c>
      <c r="C5494" s="9"/>
      <c r="D5494" s="9">
        <f t="shared" si="85"/>
        <v>34.96</v>
      </c>
      <c r="E5494" s="11"/>
      <c r="F5494" s="9"/>
    </row>
    <row r="5495" s="1" customFormat="1" customHeight="1" spans="1:6">
      <c r="A5495" s="9" t="str">
        <f>"10360518403"</f>
        <v>10360518403</v>
      </c>
      <c r="B5495" s="10">
        <v>32.21</v>
      </c>
      <c r="C5495" s="9"/>
      <c r="D5495" s="9">
        <f t="shared" si="85"/>
        <v>32.21</v>
      </c>
      <c r="E5495" s="11"/>
      <c r="F5495" s="9"/>
    </row>
    <row r="5496" s="1" customFormat="1" customHeight="1" spans="1:6">
      <c r="A5496" s="9" t="str">
        <f>"10230518404"</f>
        <v>10230518404</v>
      </c>
      <c r="B5496" s="10">
        <v>0</v>
      </c>
      <c r="C5496" s="9"/>
      <c r="D5496" s="9">
        <f t="shared" si="85"/>
        <v>0</v>
      </c>
      <c r="E5496" s="11"/>
      <c r="F5496" s="9" t="s">
        <v>7</v>
      </c>
    </row>
    <row r="5497" s="1" customFormat="1" customHeight="1" spans="1:6">
      <c r="A5497" s="9" t="str">
        <f>"10170518405"</f>
        <v>10170518405</v>
      </c>
      <c r="B5497" s="10">
        <v>42.45</v>
      </c>
      <c r="C5497" s="9"/>
      <c r="D5497" s="9">
        <f t="shared" si="85"/>
        <v>42.45</v>
      </c>
      <c r="E5497" s="11"/>
      <c r="F5497" s="9"/>
    </row>
    <row r="5498" s="1" customFormat="1" customHeight="1" spans="1:6">
      <c r="A5498" s="9" t="str">
        <f>"10300518406"</f>
        <v>10300518406</v>
      </c>
      <c r="B5498" s="10">
        <v>0</v>
      </c>
      <c r="C5498" s="9"/>
      <c r="D5498" s="9">
        <f t="shared" si="85"/>
        <v>0</v>
      </c>
      <c r="E5498" s="11"/>
      <c r="F5498" s="9" t="s">
        <v>7</v>
      </c>
    </row>
    <row r="5499" s="1" customFormat="1" customHeight="1" spans="1:6">
      <c r="A5499" s="9" t="str">
        <f>"10360518407"</f>
        <v>10360518407</v>
      </c>
      <c r="B5499" s="10">
        <v>0</v>
      </c>
      <c r="C5499" s="9"/>
      <c r="D5499" s="9">
        <f t="shared" si="85"/>
        <v>0</v>
      </c>
      <c r="E5499" s="11"/>
      <c r="F5499" s="9" t="s">
        <v>7</v>
      </c>
    </row>
    <row r="5500" s="1" customFormat="1" customHeight="1" spans="1:6">
      <c r="A5500" s="9" t="str">
        <f>"10360518408"</f>
        <v>10360518408</v>
      </c>
      <c r="B5500" s="10">
        <v>39.82</v>
      </c>
      <c r="C5500" s="9"/>
      <c r="D5500" s="9">
        <f t="shared" si="85"/>
        <v>39.82</v>
      </c>
      <c r="E5500" s="11"/>
      <c r="F5500" s="9"/>
    </row>
    <row r="5501" s="1" customFormat="1" customHeight="1" spans="1:6">
      <c r="A5501" s="9" t="str">
        <f>"10110518409"</f>
        <v>10110518409</v>
      </c>
      <c r="B5501" s="10">
        <v>48.58</v>
      </c>
      <c r="C5501" s="9"/>
      <c r="D5501" s="9">
        <f t="shared" si="85"/>
        <v>48.58</v>
      </c>
      <c r="E5501" s="11"/>
      <c r="F5501" s="9"/>
    </row>
    <row r="5502" s="1" customFormat="1" customHeight="1" spans="1:6">
      <c r="A5502" s="9" t="str">
        <f>"10360518410"</f>
        <v>10360518410</v>
      </c>
      <c r="B5502" s="10">
        <v>34.02</v>
      </c>
      <c r="C5502" s="9"/>
      <c r="D5502" s="9">
        <f t="shared" si="85"/>
        <v>34.02</v>
      </c>
      <c r="E5502" s="11"/>
      <c r="F5502" s="9"/>
    </row>
    <row r="5503" s="1" customFormat="1" customHeight="1" spans="1:6">
      <c r="A5503" s="9" t="str">
        <f>"10520518411"</f>
        <v>10520518411</v>
      </c>
      <c r="B5503" s="10">
        <v>0</v>
      </c>
      <c r="C5503" s="9"/>
      <c r="D5503" s="9">
        <f t="shared" si="85"/>
        <v>0</v>
      </c>
      <c r="E5503" s="11"/>
      <c r="F5503" s="9" t="s">
        <v>7</v>
      </c>
    </row>
    <row r="5504" s="1" customFormat="1" customHeight="1" spans="1:6">
      <c r="A5504" s="9" t="str">
        <f>"10230518412"</f>
        <v>10230518412</v>
      </c>
      <c r="B5504" s="10">
        <v>43.48</v>
      </c>
      <c r="C5504" s="9"/>
      <c r="D5504" s="9">
        <f t="shared" si="85"/>
        <v>43.48</v>
      </c>
      <c r="E5504" s="11"/>
      <c r="F5504" s="9"/>
    </row>
    <row r="5505" s="1" customFormat="1" customHeight="1" spans="1:6">
      <c r="A5505" s="9" t="str">
        <f>"10360518413"</f>
        <v>10360518413</v>
      </c>
      <c r="B5505" s="10">
        <v>39.4</v>
      </c>
      <c r="C5505" s="9"/>
      <c r="D5505" s="9">
        <f t="shared" si="85"/>
        <v>39.4</v>
      </c>
      <c r="E5505" s="11"/>
      <c r="F5505" s="9"/>
    </row>
    <row r="5506" s="1" customFormat="1" customHeight="1" spans="1:6">
      <c r="A5506" s="9" t="str">
        <f>"10060518414"</f>
        <v>10060518414</v>
      </c>
      <c r="B5506" s="10">
        <v>79.32</v>
      </c>
      <c r="C5506" s="9"/>
      <c r="D5506" s="9">
        <f t="shared" si="85"/>
        <v>79.32</v>
      </c>
      <c r="E5506" s="11"/>
      <c r="F5506" s="9"/>
    </row>
    <row r="5507" s="1" customFormat="1" customHeight="1" spans="1:6">
      <c r="A5507" s="9" t="str">
        <f>"10510518415"</f>
        <v>10510518415</v>
      </c>
      <c r="B5507" s="10">
        <v>35.93</v>
      </c>
      <c r="C5507" s="9"/>
      <c r="D5507" s="9">
        <f t="shared" ref="D5507:D5570" si="86">SUM(B5507:C5507)</f>
        <v>35.93</v>
      </c>
      <c r="E5507" s="11"/>
      <c r="F5507" s="9"/>
    </row>
    <row r="5508" s="1" customFormat="1" customHeight="1" spans="1:6">
      <c r="A5508" s="9" t="str">
        <f>"10100518416"</f>
        <v>10100518416</v>
      </c>
      <c r="B5508" s="10">
        <v>43.64</v>
      </c>
      <c r="C5508" s="9"/>
      <c r="D5508" s="9">
        <f t="shared" si="86"/>
        <v>43.64</v>
      </c>
      <c r="E5508" s="11"/>
      <c r="F5508" s="9"/>
    </row>
    <row r="5509" s="1" customFormat="1" customHeight="1" spans="1:6">
      <c r="A5509" s="9" t="str">
        <f>"10380518417"</f>
        <v>10380518417</v>
      </c>
      <c r="B5509" s="10">
        <v>35.68</v>
      </c>
      <c r="C5509" s="9"/>
      <c r="D5509" s="9">
        <f t="shared" si="86"/>
        <v>35.68</v>
      </c>
      <c r="E5509" s="11"/>
      <c r="F5509" s="9"/>
    </row>
    <row r="5510" s="1" customFormat="1" customHeight="1" spans="1:6">
      <c r="A5510" s="9" t="str">
        <f>"10530518418"</f>
        <v>10530518418</v>
      </c>
      <c r="B5510" s="10">
        <v>44.24</v>
      </c>
      <c r="C5510" s="9"/>
      <c r="D5510" s="9">
        <f t="shared" si="86"/>
        <v>44.24</v>
      </c>
      <c r="E5510" s="11"/>
      <c r="F5510" s="9"/>
    </row>
    <row r="5511" s="1" customFormat="1" customHeight="1" spans="1:6">
      <c r="A5511" s="9" t="str">
        <f>"10510518419"</f>
        <v>10510518419</v>
      </c>
      <c r="B5511" s="10">
        <v>0</v>
      </c>
      <c r="C5511" s="9"/>
      <c r="D5511" s="9">
        <f t="shared" si="86"/>
        <v>0</v>
      </c>
      <c r="E5511" s="11"/>
      <c r="F5511" s="9" t="s">
        <v>7</v>
      </c>
    </row>
    <row r="5512" s="1" customFormat="1" customHeight="1" spans="1:6">
      <c r="A5512" s="9" t="str">
        <f>"10380518420"</f>
        <v>10380518420</v>
      </c>
      <c r="B5512" s="10">
        <v>36.7</v>
      </c>
      <c r="C5512" s="9"/>
      <c r="D5512" s="9">
        <f t="shared" si="86"/>
        <v>36.7</v>
      </c>
      <c r="E5512" s="11"/>
      <c r="F5512" s="9"/>
    </row>
    <row r="5513" s="1" customFormat="1" customHeight="1" spans="1:6">
      <c r="A5513" s="9" t="str">
        <f>"10110518421"</f>
        <v>10110518421</v>
      </c>
      <c r="B5513" s="10">
        <v>37.33</v>
      </c>
      <c r="C5513" s="9"/>
      <c r="D5513" s="9">
        <f t="shared" si="86"/>
        <v>37.33</v>
      </c>
      <c r="E5513" s="11"/>
      <c r="F5513" s="9"/>
    </row>
    <row r="5514" s="1" customFormat="1" customHeight="1" spans="1:6">
      <c r="A5514" s="9" t="str">
        <f>"10270518422"</f>
        <v>10270518422</v>
      </c>
      <c r="B5514" s="10">
        <v>52.19</v>
      </c>
      <c r="C5514" s="9"/>
      <c r="D5514" s="9">
        <f t="shared" si="86"/>
        <v>52.19</v>
      </c>
      <c r="E5514" s="11"/>
      <c r="F5514" s="9"/>
    </row>
    <row r="5515" s="1" customFormat="1" customHeight="1" spans="1:6">
      <c r="A5515" s="9" t="str">
        <f>"10360518423"</f>
        <v>10360518423</v>
      </c>
      <c r="B5515" s="10">
        <v>0</v>
      </c>
      <c r="C5515" s="9"/>
      <c r="D5515" s="9">
        <f t="shared" si="86"/>
        <v>0</v>
      </c>
      <c r="E5515" s="11"/>
      <c r="F5515" s="9" t="s">
        <v>7</v>
      </c>
    </row>
    <row r="5516" s="1" customFormat="1" customHeight="1" spans="1:6">
      <c r="A5516" s="9" t="str">
        <f>"10110518424"</f>
        <v>10110518424</v>
      </c>
      <c r="B5516" s="10">
        <v>0</v>
      </c>
      <c r="C5516" s="9"/>
      <c r="D5516" s="9">
        <f t="shared" si="86"/>
        <v>0</v>
      </c>
      <c r="E5516" s="11"/>
      <c r="F5516" s="9" t="s">
        <v>7</v>
      </c>
    </row>
    <row r="5517" s="1" customFormat="1" customHeight="1" spans="1:6">
      <c r="A5517" s="9" t="str">
        <f>"10090518425"</f>
        <v>10090518425</v>
      </c>
      <c r="B5517" s="10">
        <v>0</v>
      </c>
      <c r="C5517" s="9"/>
      <c r="D5517" s="9">
        <f t="shared" si="86"/>
        <v>0</v>
      </c>
      <c r="E5517" s="11"/>
      <c r="F5517" s="9" t="s">
        <v>7</v>
      </c>
    </row>
    <row r="5518" s="1" customFormat="1" customHeight="1" spans="1:6">
      <c r="A5518" s="9" t="str">
        <f>"10500518426"</f>
        <v>10500518426</v>
      </c>
      <c r="B5518" s="10">
        <v>0</v>
      </c>
      <c r="C5518" s="9"/>
      <c r="D5518" s="9">
        <f t="shared" si="86"/>
        <v>0</v>
      </c>
      <c r="E5518" s="11"/>
      <c r="F5518" s="9" t="s">
        <v>7</v>
      </c>
    </row>
    <row r="5519" s="1" customFormat="1" customHeight="1" spans="1:6">
      <c r="A5519" s="9" t="str">
        <f>"10360518427"</f>
        <v>10360518427</v>
      </c>
      <c r="B5519" s="10">
        <v>31.92</v>
      </c>
      <c r="C5519" s="9"/>
      <c r="D5519" s="9">
        <f t="shared" si="86"/>
        <v>31.92</v>
      </c>
      <c r="E5519" s="11"/>
      <c r="F5519" s="9"/>
    </row>
    <row r="5520" s="1" customFormat="1" customHeight="1" spans="1:6">
      <c r="A5520" s="9" t="str">
        <f>"10010518428"</f>
        <v>10010518428</v>
      </c>
      <c r="B5520" s="10">
        <v>0</v>
      </c>
      <c r="C5520" s="9"/>
      <c r="D5520" s="9">
        <f t="shared" si="86"/>
        <v>0</v>
      </c>
      <c r="E5520" s="11"/>
      <c r="F5520" s="9" t="s">
        <v>7</v>
      </c>
    </row>
    <row r="5521" s="1" customFormat="1" customHeight="1" spans="1:6">
      <c r="A5521" s="9" t="str">
        <f>"10290518429"</f>
        <v>10290518429</v>
      </c>
      <c r="B5521" s="10">
        <v>0</v>
      </c>
      <c r="C5521" s="9"/>
      <c r="D5521" s="9">
        <f t="shared" si="86"/>
        <v>0</v>
      </c>
      <c r="E5521" s="11"/>
      <c r="F5521" s="9" t="s">
        <v>7</v>
      </c>
    </row>
    <row r="5522" s="1" customFormat="1" customHeight="1" spans="1:6">
      <c r="A5522" s="9" t="str">
        <f>"10460518430"</f>
        <v>10460518430</v>
      </c>
      <c r="B5522" s="10">
        <v>38.57</v>
      </c>
      <c r="C5522" s="9"/>
      <c r="D5522" s="9">
        <f t="shared" si="86"/>
        <v>38.57</v>
      </c>
      <c r="E5522" s="11"/>
      <c r="F5522" s="9"/>
    </row>
    <row r="5523" s="1" customFormat="1" customHeight="1" spans="1:6">
      <c r="A5523" s="9" t="str">
        <f>"10270518501"</f>
        <v>10270518501</v>
      </c>
      <c r="B5523" s="10">
        <v>48.3</v>
      </c>
      <c r="C5523" s="9"/>
      <c r="D5523" s="9">
        <f t="shared" si="86"/>
        <v>48.3</v>
      </c>
      <c r="E5523" s="11"/>
      <c r="F5523" s="9"/>
    </row>
    <row r="5524" s="1" customFormat="1" customHeight="1" spans="1:6">
      <c r="A5524" s="9" t="str">
        <f>"10360518502"</f>
        <v>10360518502</v>
      </c>
      <c r="B5524" s="10">
        <v>34.47</v>
      </c>
      <c r="C5524" s="9"/>
      <c r="D5524" s="9">
        <f t="shared" si="86"/>
        <v>34.47</v>
      </c>
      <c r="E5524" s="11"/>
      <c r="F5524" s="9"/>
    </row>
    <row r="5525" s="1" customFormat="1" customHeight="1" spans="1:6">
      <c r="A5525" s="9" t="str">
        <f>"10330518503"</f>
        <v>10330518503</v>
      </c>
      <c r="B5525" s="10">
        <v>44.38</v>
      </c>
      <c r="C5525" s="9"/>
      <c r="D5525" s="9">
        <f t="shared" si="86"/>
        <v>44.38</v>
      </c>
      <c r="E5525" s="11"/>
      <c r="F5525" s="9"/>
    </row>
    <row r="5526" s="1" customFormat="1" customHeight="1" spans="1:6">
      <c r="A5526" s="9" t="str">
        <f>"10500518504"</f>
        <v>10500518504</v>
      </c>
      <c r="B5526" s="10">
        <v>36.12</v>
      </c>
      <c r="C5526" s="9"/>
      <c r="D5526" s="9">
        <f t="shared" si="86"/>
        <v>36.12</v>
      </c>
      <c r="E5526" s="11"/>
      <c r="F5526" s="9"/>
    </row>
    <row r="5527" s="1" customFormat="1" customHeight="1" spans="1:6">
      <c r="A5527" s="9" t="str">
        <f>"10180518505"</f>
        <v>10180518505</v>
      </c>
      <c r="B5527" s="10">
        <v>44.12</v>
      </c>
      <c r="C5527" s="9"/>
      <c r="D5527" s="9">
        <f t="shared" si="86"/>
        <v>44.12</v>
      </c>
      <c r="E5527" s="11"/>
      <c r="F5527" s="9"/>
    </row>
    <row r="5528" s="1" customFormat="1" customHeight="1" spans="1:6">
      <c r="A5528" s="9" t="str">
        <f>"10130518506"</f>
        <v>10130518506</v>
      </c>
      <c r="B5528" s="10">
        <v>47.01</v>
      </c>
      <c r="C5528" s="9"/>
      <c r="D5528" s="9">
        <f t="shared" si="86"/>
        <v>47.01</v>
      </c>
      <c r="E5528" s="11"/>
      <c r="F5528" s="9"/>
    </row>
    <row r="5529" s="1" customFormat="1" customHeight="1" spans="1:6">
      <c r="A5529" s="9" t="str">
        <f>"10360518507"</f>
        <v>10360518507</v>
      </c>
      <c r="B5529" s="10">
        <v>38.77</v>
      </c>
      <c r="C5529" s="9"/>
      <c r="D5529" s="9">
        <f t="shared" si="86"/>
        <v>38.77</v>
      </c>
      <c r="E5529" s="11"/>
      <c r="F5529" s="9"/>
    </row>
    <row r="5530" s="1" customFormat="1" customHeight="1" spans="1:6">
      <c r="A5530" s="9" t="str">
        <f>"10130518508"</f>
        <v>10130518508</v>
      </c>
      <c r="B5530" s="10">
        <v>0</v>
      </c>
      <c r="C5530" s="9"/>
      <c r="D5530" s="9">
        <f t="shared" si="86"/>
        <v>0</v>
      </c>
      <c r="E5530" s="11"/>
      <c r="F5530" s="9" t="s">
        <v>7</v>
      </c>
    </row>
    <row r="5531" s="1" customFormat="1" customHeight="1" spans="1:6">
      <c r="A5531" s="9" t="str">
        <f>"10300518509"</f>
        <v>10300518509</v>
      </c>
      <c r="B5531" s="10">
        <v>0</v>
      </c>
      <c r="C5531" s="9"/>
      <c r="D5531" s="9">
        <f t="shared" si="86"/>
        <v>0</v>
      </c>
      <c r="E5531" s="11"/>
      <c r="F5531" s="9" t="s">
        <v>7</v>
      </c>
    </row>
    <row r="5532" s="1" customFormat="1" customHeight="1" spans="1:6">
      <c r="A5532" s="9" t="str">
        <f>"10080518510"</f>
        <v>10080518510</v>
      </c>
      <c r="B5532" s="10">
        <v>46.01</v>
      </c>
      <c r="C5532" s="9"/>
      <c r="D5532" s="9">
        <f t="shared" si="86"/>
        <v>46.01</v>
      </c>
      <c r="E5532" s="11"/>
      <c r="F5532" s="9"/>
    </row>
    <row r="5533" s="1" customFormat="1" customHeight="1" spans="1:6">
      <c r="A5533" s="9" t="str">
        <f>"10410518511"</f>
        <v>10410518511</v>
      </c>
      <c r="B5533" s="10">
        <v>33.18</v>
      </c>
      <c r="C5533" s="9"/>
      <c r="D5533" s="9">
        <f t="shared" si="86"/>
        <v>33.18</v>
      </c>
      <c r="E5533" s="11"/>
      <c r="F5533" s="9"/>
    </row>
    <row r="5534" s="1" customFormat="1" customHeight="1" spans="1:6">
      <c r="A5534" s="9" t="str">
        <f>"10360518512"</f>
        <v>10360518512</v>
      </c>
      <c r="B5534" s="10">
        <v>0</v>
      </c>
      <c r="C5534" s="9"/>
      <c r="D5534" s="9">
        <f t="shared" si="86"/>
        <v>0</v>
      </c>
      <c r="E5534" s="11"/>
      <c r="F5534" s="9" t="s">
        <v>7</v>
      </c>
    </row>
    <row r="5535" s="1" customFormat="1" customHeight="1" spans="1:6">
      <c r="A5535" s="9" t="str">
        <f>"10300518513"</f>
        <v>10300518513</v>
      </c>
      <c r="B5535" s="10">
        <v>33.84</v>
      </c>
      <c r="C5535" s="9"/>
      <c r="D5535" s="9">
        <f t="shared" si="86"/>
        <v>33.84</v>
      </c>
      <c r="E5535" s="11"/>
      <c r="F5535" s="9"/>
    </row>
    <row r="5536" s="1" customFormat="1" customHeight="1" spans="1:6">
      <c r="A5536" s="9" t="str">
        <f>"10210518514"</f>
        <v>10210518514</v>
      </c>
      <c r="B5536" s="10">
        <v>0</v>
      </c>
      <c r="C5536" s="9"/>
      <c r="D5536" s="9">
        <f t="shared" si="86"/>
        <v>0</v>
      </c>
      <c r="E5536" s="11"/>
      <c r="F5536" s="9" t="s">
        <v>7</v>
      </c>
    </row>
    <row r="5537" s="1" customFormat="1" customHeight="1" spans="1:6">
      <c r="A5537" s="9" t="str">
        <f>"10010518515"</f>
        <v>10010518515</v>
      </c>
      <c r="B5537" s="10">
        <v>38</v>
      </c>
      <c r="C5537" s="9"/>
      <c r="D5537" s="9">
        <f t="shared" si="86"/>
        <v>38</v>
      </c>
      <c r="E5537" s="11"/>
      <c r="F5537" s="9"/>
    </row>
    <row r="5538" s="1" customFormat="1" customHeight="1" spans="1:6">
      <c r="A5538" s="9" t="str">
        <f>"10440518516"</f>
        <v>10440518516</v>
      </c>
      <c r="B5538" s="10">
        <v>0</v>
      </c>
      <c r="C5538" s="9"/>
      <c r="D5538" s="9">
        <f t="shared" si="86"/>
        <v>0</v>
      </c>
      <c r="E5538" s="11"/>
      <c r="F5538" s="9" t="s">
        <v>7</v>
      </c>
    </row>
    <row r="5539" s="1" customFormat="1" customHeight="1" spans="1:6">
      <c r="A5539" s="9" t="str">
        <f>"10300518517"</f>
        <v>10300518517</v>
      </c>
      <c r="B5539" s="10">
        <v>39.64</v>
      </c>
      <c r="C5539" s="9"/>
      <c r="D5539" s="9">
        <f t="shared" si="86"/>
        <v>39.64</v>
      </c>
      <c r="E5539" s="11"/>
      <c r="F5539" s="9"/>
    </row>
    <row r="5540" s="1" customFormat="1" customHeight="1" spans="1:6">
      <c r="A5540" s="9" t="str">
        <f>"10240518518"</f>
        <v>10240518518</v>
      </c>
      <c r="B5540" s="10">
        <v>53.01</v>
      </c>
      <c r="C5540" s="9"/>
      <c r="D5540" s="9">
        <f t="shared" si="86"/>
        <v>53.01</v>
      </c>
      <c r="E5540" s="11"/>
      <c r="F5540" s="9"/>
    </row>
    <row r="5541" s="1" customFormat="1" customHeight="1" spans="1:6">
      <c r="A5541" s="9" t="str">
        <f>"10240518519"</f>
        <v>10240518519</v>
      </c>
      <c r="B5541" s="10">
        <v>0</v>
      </c>
      <c r="C5541" s="9"/>
      <c r="D5541" s="9">
        <f t="shared" si="86"/>
        <v>0</v>
      </c>
      <c r="E5541" s="11"/>
      <c r="F5541" s="9" t="s">
        <v>7</v>
      </c>
    </row>
    <row r="5542" s="1" customFormat="1" customHeight="1" spans="1:6">
      <c r="A5542" s="9" t="str">
        <f>"10360518520"</f>
        <v>10360518520</v>
      </c>
      <c r="B5542" s="10">
        <v>0</v>
      </c>
      <c r="C5542" s="9"/>
      <c r="D5542" s="9">
        <f t="shared" si="86"/>
        <v>0</v>
      </c>
      <c r="E5542" s="11"/>
      <c r="F5542" s="9" t="s">
        <v>7</v>
      </c>
    </row>
    <row r="5543" s="1" customFormat="1" customHeight="1" spans="1:6">
      <c r="A5543" s="9" t="str">
        <f>"10110518521"</f>
        <v>10110518521</v>
      </c>
      <c r="B5543" s="10">
        <v>0</v>
      </c>
      <c r="C5543" s="9"/>
      <c r="D5543" s="9">
        <f t="shared" si="86"/>
        <v>0</v>
      </c>
      <c r="E5543" s="11"/>
      <c r="F5543" s="9" t="s">
        <v>7</v>
      </c>
    </row>
    <row r="5544" s="1" customFormat="1" customHeight="1" spans="1:6">
      <c r="A5544" s="9" t="str">
        <f>"10170518522"</f>
        <v>10170518522</v>
      </c>
      <c r="B5544" s="10">
        <v>0</v>
      </c>
      <c r="C5544" s="9"/>
      <c r="D5544" s="9">
        <f t="shared" si="86"/>
        <v>0</v>
      </c>
      <c r="E5544" s="11"/>
      <c r="F5544" s="9" t="s">
        <v>7</v>
      </c>
    </row>
    <row r="5545" s="1" customFormat="1" customHeight="1" spans="1:6">
      <c r="A5545" s="9" t="str">
        <f>"10510518523"</f>
        <v>10510518523</v>
      </c>
      <c r="B5545" s="10">
        <v>43.53</v>
      </c>
      <c r="C5545" s="9"/>
      <c r="D5545" s="9">
        <f t="shared" si="86"/>
        <v>43.53</v>
      </c>
      <c r="E5545" s="11"/>
      <c r="F5545" s="9"/>
    </row>
    <row r="5546" s="1" customFormat="1" customHeight="1" spans="1:6">
      <c r="A5546" s="9" t="str">
        <f>"10360518524"</f>
        <v>10360518524</v>
      </c>
      <c r="B5546" s="10">
        <v>42.03</v>
      </c>
      <c r="C5546" s="9"/>
      <c r="D5546" s="9">
        <f t="shared" si="86"/>
        <v>42.03</v>
      </c>
      <c r="E5546" s="11"/>
      <c r="F5546" s="9"/>
    </row>
    <row r="5547" s="1" customFormat="1" customHeight="1" spans="1:6">
      <c r="A5547" s="9" t="str">
        <f>"10060518525"</f>
        <v>10060518525</v>
      </c>
      <c r="B5547" s="10">
        <v>43.82</v>
      </c>
      <c r="C5547" s="9"/>
      <c r="D5547" s="9">
        <f t="shared" si="86"/>
        <v>43.82</v>
      </c>
      <c r="E5547" s="11"/>
      <c r="F5547" s="9"/>
    </row>
    <row r="5548" s="1" customFormat="1" customHeight="1" spans="1:6">
      <c r="A5548" s="9" t="str">
        <f>"10130518526"</f>
        <v>10130518526</v>
      </c>
      <c r="B5548" s="10">
        <v>0</v>
      </c>
      <c r="C5548" s="9"/>
      <c r="D5548" s="9">
        <f t="shared" si="86"/>
        <v>0</v>
      </c>
      <c r="E5548" s="11"/>
      <c r="F5548" s="9" t="s">
        <v>7</v>
      </c>
    </row>
    <row r="5549" s="1" customFormat="1" customHeight="1" spans="1:6">
      <c r="A5549" s="9" t="str">
        <f>"10020518527"</f>
        <v>10020518527</v>
      </c>
      <c r="B5549" s="10">
        <v>0</v>
      </c>
      <c r="C5549" s="9"/>
      <c r="D5549" s="9">
        <f t="shared" si="86"/>
        <v>0</v>
      </c>
      <c r="E5549" s="11"/>
      <c r="F5549" s="9" t="s">
        <v>7</v>
      </c>
    </row>
    <row r="5550" s="1" customFormat="1" customHeight="1" spans="1:6">
      <c r="A5550" s="9" t="str">
        <f>"10280518528"</f>
        <v>10280518528</v>
      </c>
      <c r="B5550" s="10">
        <v>39.34</v>
      </c>
      <c r="C5550" s="9"/>
      <c r="D5550" s="9">
        <f t="shared" si="86"/>
        <v>39.34</v>
      </c>
      <c r="E5550" s="11"/>
      <c r="F5550" s="9"/>
    </row>
    <row r="5551" s="1" customFormat="1" customHeight="1" spans="1:6">
      <c r="A5551" s="9" t="str">
        <f>"10360518529"</f>
        <v>10360518529</v>
      </c>
      <c r="B5551" s="10">
        <v>32.52</v>
      </c>
      <c r="C5551" s="9"/>
      <c r="D5551" s="9">
        <f t="shared" si="86"/>
        <v>32.52</v>
      </c>
      <c r="E5551" s="11"/>
      <c r="F5551" s="9"/>
    </row>
    <row r="5552" s="1" customFormat="1" customHeight="1" spans="1:6">
      <c r="A5552" s="9" t="str">
        <f>"10020518530"</f>
        <v>10020518530</v>
      </c>
      <c r="B5552" s="10">
        <v>41.98</v>
      </c>
      <c r="C5552" s="9"/>
      <c r="D5552" s="9">
        <f t="shared" si="86"/>
        <v>41.98</v>
      </c>
      <c r="E5552" s="11"/>
      <c r="F5552" s="9"/>
    </row>
    <row r="5553" s="1" customFormat="1" customHeight="1" spans="1:6">
      <c r="A5553" s="9" t="str">
        <f>"10270518601"</f>
        <v>10270518601</v>
      </c>
      <c r="B5553" s="10">
        <v>44.6</v>
      </c>
      <c r="C5553" s="9"/>
      <c r="D5553" s="9">
        <f t="shared" si="86"/>
        <v>44.6</v>
      </c>
      <c r="E5553" s="11"/>
      <c r="F5553" s="9"/>
    </row>
    <row r="5554" s="1" customFormat="1" customHeight="1" spans="1:6">
      <c r="A5554" s="9" t="str">
        <f>"10440518602"</f>
        <v>10440518602</v>
      </c>
      <c r="B5554" s="10">
        <v>0</v>
      </c>
      <c r="C5554" s="9"/>
      <c r="D5554" s="9">
        <f t="shared" si="86"/>
        <v>0</v>
      </c>
      <c r="E5554" s="11"/>
      <c r="F5554" s="9" t="s">
        <v>7</v>
      </c>
    </row>
    <row r="5555" s="1" customFormat="1" customHeight="1" spans="1:6">
      <c r="A5555" s="9" t="str">
        <f>"10280518603"</f>
        <v>10280518603</v>
      </c>
      <c r="B5555" s="10">
        <v>38.98</v>
      </c>
      <c r="C5555" s="9"/>
      <c r="D5555" s="9">
        <f t="shared" si="86"/>
        <v>38.98</v>
      </c>
      <c r="E5555" s="11"/>
      <c r="F5555" s="9"/>
    </row>
    <row r="5556" s="1" customFormat="1" customHeight="1" spans="1:6">
      <c r="A5556" s="9" t="str">
        <f>"10060518604"</f>
        <v>10060518604</v>
      </c>
      <c r="B5556" s="10">
        <v>41.98</v>
      </c>
      <c r="C5556" s="9"/>
      <c r="D5556" s="9">
        <f t="shared" si="86"/>
        <v>41.98</v>
      </c>
      <c r="E5556" s="11"/>
      <c r="F5556" s="9"/>
    </row>
    <row r="5557" s="1" customFormat="1" customHeight="1" spans="1:6">
      <c r="A5557" s="9" t="str">
        <f>"10360518605"</f>
        <v>10360518605</v>
      </c>
      <c r="B5557" s="10">
        <v>0</v>
      </c>
      <c r="C5557" s="9"/>
      <c r="D5557" s="9">
        <f t="shared" si="86"/>
        <v>0</v>
      </c>
      <c r="E5557" s="11"/>
      <c r="F5557" s="9" t="s">
        <v>7</v>
      </c>
    </row>
    <row r="5558" s="1" customFormat="1" customHeight="1" spans="1:6">
      <c r="A5558" s="9" t="str">
        <f>"20270518606"</f>
        <v>20270518606</v>
      </c>
      <c r="B5558" s="10">
        <v>39.21</v>
      </c>
      <c r="C5558" s="9"/>
      <c r="D5558" s="9">
        <f t="shared" si="86"/>
        <v>39.21</v>
      </c>
      <c r="E5558" s="11"/>
      <c r="F5558" s="9"/>
    </row>
    <row r="5559" s="1" customFormat="1" customHeight="1" spans="1:6">
      <c r="A5559" s="9" t="str">
        <f>"10330518607"</f>
        <v>10330518607</v>
      </c>
      <c r="B5559" s="10">
        <v>36.39</v>
      </c>
      <c r="C5559" s="9"/>
      <c r="D5559" s="9">
        <f t="shared" si="86"/>
        <v>36.39</v>
      </c>
      <c r="E5559" s="11"/>
      <c r="F5559" s="9"/>
    </row>
    <row r="5560" s="1" customFormat="1" customHeight="1" spans="1:6">
      <c r="A5560" s="9" t="str">
        <f>"10510518608"</f>
        <v>10510518608</v>
      </c>
      <c r="B5560" s="10">
        <v>35.47</v>
      </c>
      <c r="C5560" s="9"/>
      <c r="D5560" s="9">
        <f t="shared" si="86"/>
        <v>35.47</v>
      </c>
      <c r="E5560" s="11"/>
      <c r="F5560" s="9"/>
    </row>
    <row r="5561" s="1" customFormat="1" customHeight="1" spans="1:6">
      <c r="A5561" s="9" t="str">
        <f>"10080518609"</f>
        <v>10080518609</v>
      </c>
      <c r="B5561" s="10">
        <v>0</v>
      </c>
      <c r="C5561" s="9"/>
      <c r="D5561" s="9">
        <f t="shared" si="86"/>
        <v>0</v>
      </c>
      <c r="E5561" s="11"/>
      <c r="F5561" s="9" t="s">
        <v>7</v>
      </c>
    </row>
    <row r="5562" s="1" customFormat="1" customHeight="1" spans="1:6">
      <c r="A5562" s="9" t="str">
        <f>"10360518610"</f>
        <v>10360518610</v>
      </c>
      <c r="B5562" s="10">
        <v>32.43</v>
      </c>
      <c r="C5562" s="9"/>
      <c r="D5562" s="9">
        <f t="shared" si="86"/>
        <v>32.43</v>
      </c>
      <c r="E5562" s="11"/>
      <c r="F5562" s="9"/>
    </row>
    <row r="5563" s="1" customFormat="1" customHeight="1" spans="1:6">
      <c r="A5563" s="9" t="str">
        <f>"10330518611"</f>
        <v>10330518611</v>
      </c>
      <c r="B5563" s="10">
        <v>0</v>
      </c>
      <c r="C5563" s="9"/>
      <c r="D5563" s="9">
        <f t="shared" si="86"/>
        <v>0</v>
      </c>
      <c r="E5563" s="11"/>
      <c r="F5563" s="9" t="s">
        <v>7</v>
      </c>
    </row>
    <row r="5564" s="1" customFormat="1" customHeight="1" spans="1:6">
      <c r="A5564" s="9" t="str">
        <f>"10270518612"</f>
        <v>10270518612</v>
      </c>
      <c r="B5564" s="10">
        <v>0</v>
      </c>
      <c r="C5564" s="9"/>
      <c r="D5564" s="9">
        <f t="shared" si="86"/>
        <v>0</v>
      </c>
      <c r="E5564" s="11"/>
      <c r="F5564" s="9" t="s">
        <v>7</v>
      </c>
    </row>
    <row r="5565" s="1" customFormat="1" customHeight="1" spans="1:6">
      <c r="A5565" s="9" t="str">
        <f>"10360518613"</f>
        <v>10360518613</v>
      </c>
      <c r="B5565" s="10">
        <v>37.99</v>
      </c>
      <c r="C5565" s="9"/>
      <c r="D5565" s="9">
        <f t="shared" si="86"/>
        <v>37.99</v>
      </c>
      <c r="E5565" s="11"/>
      <c r="F5565" s="9"/>
    </row>
    <row r="5566" s="1" customFormat="1" customHeight="1" spans="1:6">
      <c r="A5566" s="9" t="str">
        <f>"10360518614"</f>
        <v>10360518614</v>
      </c>
      <c r="B5566" s="10">
        <v>33.96</v>
      </c>
      <c r="C5566" s="9"/>
      <c r="D5566" s="9">
        <f t="shared" si="86"/>
        <v>33.96</v>
      </c>
      <c r="E5566" s="11"/>
      <c r="F5566" s="9"/>
    </row>
    <row r="5567" s="1" customFormat="1" customHeight="1" spans="1:6">
      <c r="A5567" s="9" t="str">
        <f>"10180518615"</f>
        <v>10180518615</v>
      </c>
      <c r="B5567" s="10">
        <v>0</v>
      </c>
      <c r="C5567" s="9"/>
      <c r="D5567" s="9">
        <f t="shared" si="86"/>
        <v>0</v>
      </c>
      <c r="E5567" s="11"/>
      <c r="F5567" s="9" t="s">
        <v>7</v>
      </c>
    </row>
    <row r="5568" s="1" customFormat="1" customHeight="1" spans="1:6">
      <c r="A5568" s="9" t="str">
        <f>"10360518616"</f>
        <v>10360518616</v>
      </c>
      <c r="B5568" s="10">
        <v>39.36</v>
      </c>
      <c r="C5568" s="9"/>
      <c r="D5568" s="9">
        <f t="shared" si="86"/>
        <v>39.36</v>
      </c>
      <c r="E5568" s="11"/>
      <c r="F5568" s="9"/>
    </row>
    <row r="5569" s="1" customFormat="1" customHeight="1" spans="1:6">
      <c r="A5569" s="9" t="str">
        <f>"10110518617"</f>
        <v>10110518617</v>
      </c>
      <c r="B5569" s="10">
        <v>0</v>
      </c>
      <c r="C5569" s="9"/>
      <c r="D5569" s="9">
        <f t="shared" si="86"/>
        <v>0</v>
      </c>
      <c r="E5569" s="11"/>
      <c r="F5569" s="9" t="s">
        <v>7</v>
      </c>
    </row>
    <row r="5570" s="1" customFormat="1" customHeight="1" spans="1:6">
      <c r="A5570" s="9" t="str">
        <f>"10060518618"</f>
        <v>10060518618</v>
      </c>
      <c r="B5570" s="10">
        <v>38.62</v>
      </c>
      <c r="C5570" s="9"/>
      <c r="D5570" s="9">
        <f t="shared" si="86"/>
        <v>38.62</v>
      </c>
      <c r="E5570" s="11"/>
      <c r="F5570" s="9"/>
    </row>
    <row r="5571" s="1" customFormat="1" customHeight="1" spans="1:6">
      <c r="A5571" s="9" t="str">
        <f>"10170518619"</f>
        <v>10170518619</v>
      </c>
      <c r="B5571" s="10">
        <v>40.98</v>
      </c>
      <c r="C5571" s="9"/>
      <c r="D5571" s="9">
        <f t="shared" ref="D5571:D5634" si="87">SUM(B5571:C5571)</f>
        <v>40.98</v>
      </c>
      <c r="E5571" s="11"/>
      <c r="F5571" s="9"/>
    </row>
    <row r="5572" s="1" customFormat="1" customHeight="1" spans="1:6">
      <c r="A5572" s="9" t="str">
        <f>"10300518620"</f>
        <v>10300518620</v>
      </c>
      <c r="B5572" s="10">
        <v>37.16</v>
      </c>
      <c r="C5572" s="9"/>
      <c r="D5572" s="9">
        <f t="shared" si="87"/>
        <v>37.16</v>
      </c>
      <c r="E5572" s="11"/>
      <c r="F5572" s="9"/>
    </row>
    <row r="5573" s="1" customFormat="1" customHeight="1" spans="1:6">
      <c r="A5573" s="9" t="str">
        <f>"10300518621"</f>
        <v>10300518621</v>
      </c>
      <c r="B5573" s="10">
        <v>37.63</v>
      </c>
      <c r="C5573" s="9"/>
      <c r="D5573" s="9">
        <f t="shared" si="87"/>
        <v>37.63</v>
      </c>
      <c r="E5573" s="11"/>
      <c r="F5573" s="9"/>
    </row>
    <row r="5574" s="1" customFormat="1" customHeight="1" spans="1:6">
      <c r="A5574" s="9" t="str">
        <f>"10130518622"</f>
        <v>10130518622</v>
      </c>
      <c r="B5574" s="10">
        <v>49.48</v>
      </c>
      <c r="C5574" s="9"/>
      <c r="D5574" s="9">
        <f t="shared" si="87"/>
        <v>49.48</v>
      </c>
      <c r="E5574" s="11"/>
      <c r="F5574" s="9"/>
    </row>
    <row r="5575" s="1" customFormat="1" customHeight="1" spans="1:6">
      <c r="A5575" s="9" t="str">
        <f>"10110518623"</f>
        <v>10110518623</v>
      </c>
      <c r="B5575" s="10">
        <v>44.92</v>
      </c>
      <c r="C5575" s="9"/>
      <c r="D5575" s="9">
        <f t="shared" si="87"/>
        <v>44.92</v>
      </c>
      <c r="E5575" s="11"/>
      <c r="F5575" s="9"/>
    </row>
    <row r="5576" s="1" customFormat="1" customHeight="1" spans="1:6">
      <c r="A5576" s="9" t="str">
        <f>"20180518624"</f>
        <v>20180518624</v>
      </c>
      <c r="B5576" s="10">
        <v>38.19</v>
      </c>
      <c r="C5576" s="9"/>
      <c r="D5576" s="9">
        <f t="shared" si="87"/>
        <v>38.19</v>
      </c>
      <c r="E5576" s="11"/>
      <c r="F5576" s="9"/>
    </row>
    <row r="5577" s="1" customFormat="1" customHeight="1" spans="1:6">
      <c r="A5577" s="9" t="str">
        <f>"10360518625"</f>
        <v>10360518625</v>
      </c>
      <c r="B5577" s="10">
        <v>34.99</v>
      </c>
      <c r="C5577" s="9"/>
      <c r="D5577" s="9">
        <f t="shared" si="87"/>
        <v>34.99</v>
      </c>
      <c r="E5577" s="11"/>
      <c r="F5577" s="9"/>
    </row>
    <row r="5578" s="1" customFormat="1" customHeight="1" spans="1:6">
      <c r="A5578" s="9" t="str">
        <f>"10290518626"</f>
        <v>10290518626</v>
      </c>
      <c r="B5578" s="10">
        <v>34.76</v>
      </c>
      <c r="C5578" s="9"/>
      <c r="D5578" s="9">
        <f t="shared" si="87"/>
        <v>34.76</v>
      </c>
      <c r="E5578" s="11"/>
      <c r="F5578" s="9"/>
    </row>
    <row r="5579" s="1" customFormat="1" customHeight="1" spans="1:6">
      <c r="A5579" s="9" t="str">
        <f>"10110518627"</f>
        <v>10110518627</v>
      </c>
      <c r="B5579" s="10">
        <v>48.75</v>
      </c>
      <c r="C5579" s="9"/>
      <c r="D5579" s="9">
        <f t="shared" si="87"/>
        <v>48.75</v>
      </c>
      <c r="E5579" s="11"/>
      <c r="F5579" s="9"/>
    </row>
    <row r="5580" s="1" customFormat="1" customHeight="1" spans="1:6">
      <c r="A5580" s="9" t="str">
        <f>"10330518628"</f>
        <v>10330518628</v>
      </c>
      <c r="B5580" s="10">
        <v>37.15</v>
      </c>
      <c r="C5580" s="9"/>
      <c r="D5580" s="9">
        <f t="shared" si="87"/>
        <v>37.15</v>
      </c>
      <c r="E5580" s="11"/>
      <c r="F5580" s="9"/>
    </row>
    <row r="5581" s="1" customFormat="1" customHeight="1" spans="1:6">
      <c r="A5581" s="9" t="str">
        <f>"10080518629"</f>
        <v>10080518629</v>
      </c>
      <c r="B5581" s="10">
        <v>35.6</v>
      </c>
      <c r="C5581" s="9"/>
      <c r="D5581" s="9">
        <f t="shared" si="87"/>
        <v>35.6</v>
      </c>
      <c r="E5581" s="11"/>
      <c r="F5581" s="9"/>
    </row>
    <row r="5582" s="1" customFormat="1" customHeight="1" spans="1:6">
      <c r="A5582" s="9" t="str">
        <f>"10130518630"</f>
        <v>10130518630</v>
      </c>
      <c r="B5582" s="10">
        <v>0</v>
      </c>
      <c r="C5582" s="9"/>
      <c r="D5582" s="9">
        <f t="shared" si="87"/>
        <v>0</v>
      </c>
      <c r="E5582" s="11"/>
      <c r="F5582" s="9" t="s">
        <v>7</v>
      </c>
    </row>
    <row r="5583" s="1" customFormat="1" customHeight="1" spans="1:6">
      <c r="A5583" s="9" t="str">
        <f>"10170518701"</f>
        <v>10170518701</v>
      </c>
      <c r="B5583" s="10">
        <v>45.07</v>
      </c>
      <c r="C5583" s="9"/>
      <c r="D5583" s="9">
        <f t="shared" si="87"/>
        <v>45.07</v>
      </c>
      <c r="E5583" s="11"/>
      <c r="F5583" s="9"/>
    </row>
    <row r="5584" s="1" customFormat="1" customHeight="1" spans="1:6">
      <c r="A5584" s="9" t="str">
        <f>"10280518702"</f>
        <v>10280518702</v>
      </c>
      <c r="B5584" s="10">
        <v>37.43</v>
      </c>
      <c r="C5584" s="9"/>
      <c r="D5584" s="9">
        <f t="shared" si="87"/>
        <v>37.43</v>
      </c>
      <c r="E5584" s="11"/>
      <c r="F5584" s="9"/>
    </row>
    <row r="5585" s="1" customFormat="1" customHeight="1" spans="1:6">
      <c r="A5585" s="9" t="str">
        <f>"10110518703"</f>
        <v>10110518703</v>
      </c>
      <c r="B5585" s="10">
        <v>0</v>
      </c>
      <c r="C5585" s="9"/>
      <c r="D5585" s="9">
        <f t="shared" si="87"/>
        <v>0</v>
      </c>
      <c r="E5585" s="11"/>
      <c r="F5585" s="9" t="s">
        <v>7</v>
      </c>
    </row>
    <row r="5586" s="1" customFormat="1" customHeight="1" spans="1:6">
      <c r="A5586" s="9" t="str">
        <f>"10070518704"</f>
        <v>10070518704</v>
      </c>
      <c r="B5586" s="10">
        <v>36.18</v>
      </c>
      <c r="C5586" s="9"/>
      <c r="D5586" s="9">
        <f t="shared" si="87"/>
        <v>36.18</v>
      </c>
      <c r="E5586" s="11"/>
      <c r="F5586" s="9"/>
    </row>
    <row r="5587" s="1" customFormat="1" customHeight="1" spans="1:6">
      <c r="A5587" s="9" t="str">
        <f>"10180518705"</f>
        <v>10180518705</v>
      </c>
      <c r="B5587" s="10">
        <v>36.49</v>
      </c>
      <c r="C5587" s="9"/>
      <c r="D5587" s="9">
        <f t="shared" si="87"/>
        <v>36.49</v>
      </c>
      <c r="E5587" s="11"/>
      <c r="F5587" s="9"/>
    </row>
    <row r="5588" s="1" customFormat="1" customHeight="1" spans="1:6">
      <c r="A5588" s="9" t="str">
        <f>"10330518706"</f>
        <v>10330518706</v>
      </c>
      <c r="B5588" s="10">
        <v>39.76</v>
      </c>
      <c r="C5588" s="9"/>
      <c r="D5588" s="9">
        <f t="shared" si="87"/>
        <v>39.76</v>
      </c>
      <c r="E5588" s="11"/>
      <c r="F5588" s="9"/>
    </row>
    <row r="5589" s="1" customFormat="1" customHeight="1" spans="1:6">
      <c r="A5589" s="9" t="str">
        <f>"10180518707"</f>
        <v>10180518707</v>
      </c>
      <c r="B5589" s="10">
        <v>31.22</v>
      </c>
      <c r="C5589" s="9"/>
      <c r="D5589" s="9">
        <f t="shared" si="87"/>
        <v>31.22</v>
      </c>
      <c r="E5589" s="11"/>
      <c r="F5589" s="9"/>
    </row>
    <row r="5590" s="1" customFormat="1" customHeight="1" spans="1:6">
      <c r="A5590" s="9" t="str">
        <f>"10470518708"</f>
        <v>10470518708</v>
      </c>
      <c r="B5590" s="10">
        <v>43.13</v>
      </c>
      <c r="C5590" s="9"/>
      <c r="D5590" s="9">
        <f t="shared" si="87"/>
        <v>43.13</v>
      </c>
      <c r="E5590" s="11"/>
      <c r="F5590" s="9"/>
    </row>
    <row r="5591" s="1" customFormat="1" customHeight="1" spans="1:6">
      <c r="A5591" s="9" t="str">
        <f>"10110518709"</f>
        <v>10110518709</v>
      </c>
      <c r="B5591" s="10">
        <v>39.89</v>
      </c>
      <c r="C5591" s="9"/>
      <c r="D5591" s="9">
        <f t="shared" si="87"/>
        <v>39.89</v>
      </c>
      <c r="E5591" s="11"/>
      <c r="F5591" s="9"/>
    </row>
    <row r="5592" s="1" customFormat="1" customHeight="1" spans="1:6">
      <c r="A5592" s="9" t="str">
        <f>"10210518710"</f>
        <v>10210518710</v>
      </c>
      <c r="B5592" s="10">
        <v>0</v>
      </c>
      <c r="C5592" s="9"/>
      <c r="D5592" s="9">
        <f t="shared" si="87"/>
        <v>0</v>
      </c>
      <c r="E5592" s="11"/>
      <c r="F5592" s="9" t="s">
        <v>7</v>
      </c>
    </row>
    <row r="5593" s="1" customFormat="1" customHeight="1" spans="1:6">
      <c r="A5593" s="9" t="str">
        <f>"10340518711"</f>
        <v>10340518711</v>
      </c>
      <c r="B5593" s="10">
        <v>38.38</v>
      </c>
      <c r="C5593" s="9"/>
      <c r="D5593" s="9">
        <f t="shared" si="87"/>
        <v>38.38</v>
      </c>
      <c r="E5593" s="11"/>
      <c r="F5593" s="9"/>
    </row>
    <row r="5594" s="1" customFormat="1" customHeight="1" spans="1:6">
      <c r="A5594" s="9" t="str">
        <f>"10330518712"</f>
        <v>10330518712</v>
      </c>
      <c r="B5594" s="10">
        <v>37.31</v>
      </c>
      <c r="C5594" s="9"/>
      <c r="D5594" s="9">
        <f t="shared" si="87"/>
        <v>37.31</v>
      </c>
      <c r="E5594" s="11"/>
      <c r="F5594" s="9"/>
    </row>
    <row r="5595" s="1" customFormat="1" customHeight="1" spans="1:6">
      <c r="A5595" s="9" t="str">
        <f>"10530518713"</f>
        <v>10530518713</v>
      </c>
      <c r="B5595" s="10">
        <v>0</v>
      </c>
      <c r="C5595" s="9"/>
      <c r="D5595" s="9">
        <f t="shared" si="87"/>
        <v>0</v>
      </c>
      <c r="E5595" s="11"/>
      <c r="F5595" s="9" t="s">
        <v>7</v>
      </c>
    </row>
    <row r="5596" s="1" customFormat="1" customHeight="1" spans="1:6">
      <c r="A5596" s="9" t="str">
        <f>"10360518714"</f>
        <v>10360518714</v>
      </c>
      <c r="B5596" s="10">
        <v>0</v>
      </c>
      <c r="C5596" s="9"/>
      <c r="D5596" s="9">
        <f t="shared" si="87"/>
        <v>0</v>
      </c>
      <c r="E5596" s="11"/>
      <c r="F5596" s="9" t="s">
        <v>7</v>
      </c>
    </row>
    <row r="5597" s="1" customFormat="1" customHeight="1" spans="1:6">
      <c r="A5597" s="9" t="str">
        <f>"10080518715"</f>
        <v>10080518715</v>
      </c>
      <c r="B5597" s="10">
        <v>42.13</v>
      </c>
      <c r="C5597" s="9"/>
      <c r="D5597" s="9">
        <f t="shared" si="87"/>
        <v>42.13</v>
      </c>
      <c r="E5597" s="11"/>
      <c r="F5597" s="9"/>
    </row>
    <row r="5598" s="1" customFormat="1" customHeight="1" spans="1:6">
      <c r="A5598" s="9" t="str">
        <f>"10290518716"</f>
        <v>10290518716</v>
      </c>
      <c r="B5598" s="10">
        <v>40.7</v>
      </c>
      <c r="C5598" s="9"/>
      <c r="D5598" s="9">
        <f t="shared" si="87"/>
        <v>40.7</v>
      </c>
      <c r="E5598" s="11"/>
      <c r="F5598" s="9"/>
    </row>
    <row r="5599" s="1" customFormat="1" customHeight="1" spans="1:6">
      <c r="A5599" s="9" t="str">
        <f>"10460518717"</f>
        <v>10460518717</v>
      </c>
      <c r="B5599" s="10">
        <v>41.7</v>
      </c>
      <c r="C5599" s="9"/>
      <c r="D5599" s="9">
        <f t="shared" si="87"/>
        <v>41.7</v>
      </c>
      <c r="E5599" s="11"/>
      <c r="F5599" s="9"/>
    </row>
    <row r="5600" s="1" customFormat="1" customHeight="1" spans="1:6">
      <c r="A5600" s="9" t="str">
        <f>"10020518718"</f>
        <v>10020518718</v>
      </c>
      <c r="B5600" s="10">
        <v>0</v>
      </c>
      <c r="C5600" s="9"/>
      <c r="D5600" s="9">
        <f t="shared" si="87"/>
        <v>0</v>
      </c>
      <c r="E5600" s="11"/>
      <c r="F5600" s="9" t="s">
        <v>7</v>
      </c>
    </row>
    <row r="5601" s="1" customFormat="1" customHeight="1" spans="1:6">
      <c r="A5601" s="9" t="str">
        <f>"10520518719"</f>
        <v>10520518719</v>
      </c>
      <c r="B5601" s="10">
        <v>38.82</v>
      </c>
      <c r="C5601" s="9"/>
      <c r="D5601" s="9">
        <f t="shared" si="87"/>
        <v>38.82</v>
      </c>
      <c r="E5601" s="11"/>
      <c r="F5601" s="9"/>
    </row>
    <row r="5602" s="1" customFormat="1" customHeight="1" spans="1:6">
      <c r="A5602" s="9" t="str">
        <f>"10360518720"</f>
        <v>10360518720</v>
      </c>
      <c r="B5602" s="10">
        <v>50.53</v>
      </c>
      <c r="C5602" s="9"/>
      <c r="D5602" s="9">
        <f t="shared" si="87"/>
        <v>50.53</v>
      </c>
      <c r="E5602" s="11"/>
      <c r="F5602" s="9"/>
    </row>
    <row r="5603" s="1" customFormat="1" customHeight="1" spans="1:6">
      <c r="A5603" s="9" t="str">
        <f>"10530518721"</f>
        <v>10530518721</v>
      </c>
      <c r="B5603" s="10">
        <v>39.69</v>
      </c>
      <c r="C5603" s="9"/>
      <c r="D5603" s="9">
        <f t="shared" si="87"/>
        <v>39.69</v>
      </c>
      <c r="E5603" s="11"/>
      <c r="F5603" s="9"/>
    </row>
    <row r="5604" s="1" customFormat="1" customHeight="1" spans="1:6">
      <c r="A5604" s="9" t="str">
        <f>"10300518722"</f>
        <v>10300518722</v>
      </c>
      <c r="B5604" s="10">
        <v>35.02</v>
      </c>
      <c r="C5604" s="9"/>
      <c r="D5604" s="9">
        <f t="shared" si="87"/>
        <v>35.02</v>
      </c>
      <c r="E5604" s="11"/>
      <c r="F5604" s="9"/>
    </row>
    <row r="5605" s="1" customFormat="1" customHeight="1" spans="1:6">
      <c r="A5605" s="9" t="str">
        <f>"10060518723"</f>
        <v>10060518723</v>
      </c>
      <c r="B5605" s="10">
        <v>43.6</v>
      </c>
      <c r="C5605" s="9"/>
      <c r="D5605" s="9">
        <f t="shared" si="87"/>
        <v>43.6</v>
      </c>
      <c r="E5605" s="11"/>
      <c r="F5605" s="9"/>
    </row>
    <row r="5606" s="1" customFormat="1" customHeight="1" spans="1:6">
      <c r="A5606" s="9" t="str">
        <f>"10240518724"</f>
        <v>10240518724</v>
      </c>
      <c r="B5606" s="10">
        <v>0</v>
      </c>
      <c r="C5606" s="9"/>
      <c r="D5606" s="9">
        <f t="shared" si="87"/>
        <v>0</v>
      </c>
      <c r="E5606" s="11"/>
      <c r="F5606" s="9" t="s">
        <v>7</v>
      </c>
    </row>
    <row r="5607" s="1" customFormat="1" customHeight="1" spans="1:6">
      <c r="A5607" s="9" t="str">
        <f>"10190518725"</f>
        <v>10190518725</v>
      </c>
      <c r="B5607" s="10">
        <v>0</v>
      </c>
      <c r="C5607" s="9"/>
      <c r="D5607" s="9">
        <f t="shared" si="87"/>
        <v>0</v>
      </c>
      <c r="E5607" s="11"/>
      <c r="F5607" s="9" t="s">
        <v>7</v>
      </c>
    </row>
    <row r="5608" s="1" customFormat="1" customHeight="1" spans="1:6">
      <c r="A5608" s="9" t="str">
        <f>"10100518726"</f>
        <v>10100518726</v>
      </c>
      <c r="B5608" s="10">
        <v>60.83</v>
      </c>
      <c r="C5608" s="9"/>
      <c r="D5608" s="9">
        <f t="shared" si="87"/>
        <v>60.83</v>
      </c>
      <c r="E5608" s="11"/>
      <c r="F5608" s="9"/>
    </row>
    <row r="5609" s="1" customFormat="1" customHeight="1" spans="1:6">
      <c r="A5609" s="9" t="str">
        <f>"10420518727"</f>
        <v>10420518727</v>
      </c>
      <c r="B5609" s="10">
        <v>0</v>
      </c>
      <c r="C5609" s="9"/>
      <c r="D5609" s="9">
        <f t="shared" si="87"/>
        <v>0</v>
      </c>
      <c r="E5609" s="11"/>
      <c r="F5609" s="9" t="s">
        <v>7</v>
      </c>
    </row>
    <row r="5610" s="1" customFormat="1" customHeight="1" spans="1:6">
      <c r="A5610" s="9" t="str">
        <f>"10330518728"</f>
        <v>10330518728</v>
      </c>
      <c r="B5610" s="10">
        <v>0</v>
      </c>
      <c r="C5610" s="9"/>
      <c r="D5610" s="9">
        <f t="shared" si="87"/>
        <v>0</v>
      </c>
      <c r="E5610" s="11"/>
      <c r="F5610" s="9" t="s">
        <v>7</v>
      </c>
    </row>
    <row r="5611" s="1" customFormat="1" customHeight="1" spans="1:6">
      <c r="A5611" s="9" t="str">
        <f>"10270518729"</f>
        <v>10270518729</v>
      </c>
      <c r="B5611" s="10">
        <v>32.84</v>
      </c>
      <c r="C5611" s="9"/>
      <c r="D5611" s="9">
        <f t="shared" si="87"/>
        <v>32.84</v>
      </c>
      <c r="E5611" s="11"/>
      <c r="F5611" s="9"/>
    </row>
    <row r="5612" s="1" customFormat="1" customHeight="1" spans="1:6">
      <c r="A5612" s="9" t="str">
        <f>"10530518730"</f>
        <v>10530518730</v>
      </c>
      <c r="B5612" s="10">
        <v>0</v>
      </c>
      <c r="C5612" s="9"/>
      <c r="D5612" s="9">
        <f t="shared" si="87"/>
        <v>0</v>
      </c>
      <c r="E5612" s="11"/>
      <c r="F5612" s="9" t="s">
        <v>7</v>
      </c>
    </row>
    <row r="5613" s="1" customFormat="1" customHeight="1" spans="1:6">
      <c r="A5613" s="9" t="str">
        <f>"10300518801"</f>
        <v>10300518801</v>
      </c>
      <c r="B5613" s="10">
        <v>48.86</v>
      </c>
      <c r="C5613" s="9"/>
      <c r="D5613" s="9">
        <f t="shared" si="87"/>
        <v>48.86</v>
      </c>
      <c r="E5613" s="11"/>
      <c r="F5613" s="9"/>
    </row>
    <row r="5614" s="1" customFormat="1" customHeight="1" spans="1:6">
      <c r="A5614" s="9" t="str">
        <f>"10290518802"</f>
        <v>10290518802</v>
      </c>
      <c r="B5614" s="10">
        <v>47.51</v>
      </c>
      <c r="C5614" s="9"/>
      <c r="D5614" s="9">
        <f t="shared" si="87"/>
        <v>47.51</v>
      </c>
      <c r="E5614" s="11"/>
      <c r="F5614" s="9"/>
    </row>
    <row r="5615" s="1" customFormat="1" customHeight="1" spans="1:6">
      <c r="A5615" s="9" t="str">
        <f>"10080518803"</f>
        <v>10080518803</v>
      </c>
      <c r="B5615" s="10">
        <v>44.85</v>
      </c>
      <c r="C5615" s="9"/>
      <c r="D5615" s="9">
        <f t="shared" si="87"/>
        <v>44.85</v>
      </c>
      <c r="E5615" s="11"/>
      <c r="F5615" s="9"/>
    </row>
    <row r="5616" s="1" customFormat="1" customHeight="1" spans="1:6">
      <c r="A5616" s="9" t="str">
        <f>"10360518804"</f>
        <v>10360518804</v>
      </c>
      <c r="B5616" s="10">
        <v>38.62</v>
      </c>
      <c r="C5616" s="9"/>
      <c r="D5616" s="9">
        <f t="shared" si="87"/>
        <v>38.62</v>
      </c>
      <c r="E5616" s="11"/>
      <c r="F5616" s="9"/>
    </row>
    <row r="5617" s="1" customFormat="1" customHeight="1" spans="1:6">
      <c r="A5617" s="9" t="str">
        <f>"10360518805"</f>
        <v>10360518805</v>
      </c>
      <c r="B5617" s="10">
        <v>42.99</v>
      </c>
      <c r="C5617" s="9"/>
      <c r="D5617" s="9">
        <f t="shared" si="87"/>
        <v>42.99</v>
      </c>
      <c r="E5617" s="11"/>
      <c r="F5617" s="9"/>
    </row>
    <row r="5618" s="1" customFormat="1" customHeight="1" spans="1:6">
      <c r="A5618" s="9" t="str">
        <f>"10340518806"</f>
        <v>10340518806</v>
      </c>
      <c r="B5618" s="10">
        <v>0</v>
      </c>
      <c r="C5618" s="9"/>
      <c r="D5618" s="9">
        <f t="shared" si="87"/>
        <v>0</v>
      </c>
      <c r="E5618" s="11"/>
      <c r="F5618" s="9" t="s">
        <v>7</v>
      </c>
    </row>
    <row r="5619" s="1" customFormat="1" customHeight="1" spans="1:6">
      <c r="A5619" s="9" t="str">
        <f>"10360518807"</f>
        <v>10360518807</v>
      </c>
      <c r="B5619" s="10">
        <v>0</v>
      </c>
      <c r="C5619" s="9"/>
      <c r="D5619" s="9">
        <f t="shared" si="87"/>
        <v>0</v>
      </c>
      <c r="E5619" s="11"/>
      <c r="F5619" s="9" t="s">
        <v>7</v>
      </c>
    </row>
    <row r="5620" s="1" customFormat="1" customHeight="1" spans="1:6">
      <c r="A5620" s="9" t="str">
        <f>"10270518808"</f>
        <v>10270518808</v>
      </c>
      <c r="B5620" s="10">
        <v>0</v>
      </c>
      <c r="C5620" s="9"/>
      <c r="D5620" s="9">
        <f t="shared" si="87"/>
        <v>0</v>
      </c>
      <c r="E5620" s="11"/>
      <c r="F5620" s="9" t="s">
        <v>7</v>
      </c>
    </row>
    <row r="5621" s="1" customFormat="1" customHeight="1" spans="1:6">
      <c r="A5621" s="9" t="str">
        <f>"10280518809"</f>
        <v>10280518809</v>
      </c>
      <c r="B5621" s="10">
        <v>40.77</v>
      </c>
      <c r="C5621" s="9"/>
      <c r="D5621" s="9">
        <f t="shared" si="87"/>
        <v>40.77</v>
      </c>
      <c r="E5621" s="11"/>
      <c r="F5621" s="9"/>
    </row>
    <row r="5622" s="1" customFormat="1" customHeight="1" spans="1:6">
      <c r="A5622" s="9" t="str">
        <f>"10230518810"</f>
        <v>10230518810</v>
      </c>
      <c r="B5622" s="10">
        <v>0</v>
      </c>
      <c r="C5622" s="9"/>
      <c r="D5622" s="9">
        <f t="shared" si="87"/>
        <v>0</v>
      </c>
      <c r="E5622" s="11"/>
      <c r="F5622" s="9" t="s">
        <v>7</v>
      </c>
    </row>
    <row r="5623" s="1" customFormat="1" customHeight="1" spans="1:6">
      <c r="A5623" s="9" t="str">
        <f>"10360518811"</f>
        <v>10360518811</v>
      </c>
      <c r="B5623" s="10">
        <v>52.84</v>
      </c>
      <c r="C5623" s="9"/>
      <c r="D5623" s="9">
        <f t="shared" si="87"/>
        <v>52.84</v>
      </c>
      <c r="E5623" s="11"/>
      <c r="F5623" s="9"/>
    </row>
    <row r="5624" s="1" customFormat="1" customHeight="1" spans="1:6">
      <c r="A5624" s="9" t="str">
        <f>"10530518812"</f>
        <v>10530518812</v>
      </c>
      <c r="B5624" s="10">
        <v>35.61</v>
      </c>
      <c r="C5624" s="9"/>
      <c r="D5624" s="9">
        <f t="shared" si="87"/>
        <v>35.61</v>
      </c>
      <c r="E5624" s="11"/>
      <c r="F5624" s="9"/>
    </row>
    <row r="5625" s="1" customFormat="1" customHeight="1" spans="1:6">
      <c r="A5625" s="9" t="str">
        <f>"10190518813"</f>
        <v>10190518813</v>
      </c>
      <c r="B5625" s="10">
        <v>35.45</v>
      </c>
      <c r="C5625" s="9"/>
      <c r="D5625" s="9">
        <f t="shared" si="87"/>
        <v>35.45</v>
      </c>
      <c r="E5625" s="11"/>
      <c r="F5625" s="9"/>
    </row>
    <row r="5626" s="1" customFormat="1" customHeight="1" spans="1:6">
      <c r="A5626" s="9" t="str">
        <f>"10360518814"</f>
        <v>10360518814</v>
      </c>
      <c r="B5626" s="10">
        <v>45.71</v>
      </c>
      <c r="C5626" s="9"/>
      <c r="D5626" s="9">
        <f t="shared" si="87"/>
        <v>45.71</v>
      </c>
      <c r="E5626" s="11"/>
      <c r="F5626" s="9"/>
    </row>
    <row r="5627" s="1" customFormat="1" customHeight="1" spans="1:6">
      <c r="A5627" s="9" t="str">
        <f>"10020518815"</f>
        <v>10020518815</v>
      </c>
      <c r="B5627" s="10">
        <v>44.27</v>
      </c>
      <c r="C5627" s="9"/>
      <c r="D5627" s="9">
        <f t="shared" si="87"/>
        <v>44.27</v>
      </c>
      <c r="E5627" s="11"/>
      <c r="F5627" s="9"/>
    </row>
    <row r="5628" s="1" customFormat="1" customHeight="1" spans="1:6">
      <c r="A5628" s="9" t="str">
        <f>"10330518816"</f>
        <v>10330518816</v>
      </c>
      <c r="B5628" s="10">
        <v>0</v>
      </c>
      <c r="C5628" s="9"/>
      <c r="D5628" s="9">
        <f t="shared" si="87"/>
        <v>0</v>
      </c>
      <c r="E5628" s="11"/>
      <c r="F5628" s="9" t="s">
        <v>7</v>
      </c>
    </row>
    <row r="5629" s="1" customFormat="1" customHeight="1" spans="1:6">
      <c r="A5629" s="9" t="str">
        <f>"10360518817"</f>
        <v>10360518817</v>
      </c>
      <c r="B5629" s="10">
        <v>0</v>
      </c>
      <c r="C5629" s="9"/>
      <c r="D5629" s="9">
        <f t="shared" si="87"/>
        <v>0</v>
      </c>
      <c r="E5629" s="11"/>
      <c r="F5629" s="9" t="s">
        <v>7</v>
      </c>
    </row>
    <row r="5630" s="1" customFormat="1" customHeight="1" spans="1:6">
      <c r="A5630" s="9" t="str">
        <f>"10270518818"</f>
        <v>10270518818</v>
      </c>
      <c r="B5630" s="10">
        <v>0</v>
      </c>
      <c r="C5630" s="9"/>
      <c r="D5630" s="9">
        <f t="shared" si="87"/>
        <v>0</v>
      </c>
      <c r="E5630" s="11"/>
      <c r="F5630" s="9" t="s">
        <v>7</v>
      </c>
    </row>
    <row r="5631" s="1" customFormat="1" customHeight="1" spans="1:6">
      <c r="A5631" s="9" t="str">
        <f>"10280518819"</f>
        <v>10280518819</v>
      </c>
      <c r="B5631" s="10">
        <v>0</v>
      </c>
      <c r="C5631" s="9"/>
      <c r="D5631" s="9">
        <f t="shared" si="87"/>
        <v>0</v>
      </c>
      <c r="E5631" s="11"/>
      <c r="F5631" s="9" t="s">
        <v>7</v>
      </c>
    </row>
    <row r="5632" s="1" customFormat="1" customHeight="1" spans="1:6">
      <c r="A5632" s="9" t="str">
        <f>"10530518820"</f>
        <v>10530518820</v>
      </c>
      <c r="B5632" s="10">
        <v>46.32</v>
      </c>
      <c r="C5632" s="9">
        <v>10</v>
      </c>
      <c r="D5632" s="9">
        <f t="shared" si="87"/>
        <v>56.32</v>
      </c>
      <c r="E5632" s="12" t="s">
        <v>8</v>
      </c>
      <c r="F5632" s="9"/>
    </row>
    <row r="5633" s="1" customFormat="1" customHeight="1" spans="1:6">
      <c r="A5633" s="9" t="str">
        <f>"10360518821"</f>
        <v>10360518821</v>
      </c>
      <c r="B5633" s="10">
        <v>0</v>
      </c>
      <c r="C5633" s="9"/>
      <c r="D5633" s="9">
        <f t="shared" si="87"/>
        <v>0</v>
      </c>
      <c r="E5633" s="11"/>
      <c r="F5633" s="9" t="s">
        <v>7</v>
      </c>
    </row>
    <row r="5634" s="1" customFormat="1" customHeight="1" spans="1:6">
      <c r="A5634" s="9" t="str">
        <f>"10150518822"</f>
        <v>10150518822</v>
      </c>
      <c r="B5634" s="10">
        <v>0</v>
      </c>
      <c r="C5634" s="9"/>
      <c r="D5634" s="9">
        <f t="shared" si="87"/>
        <v>0</v>
      </c>
      <c r="E5634" s="11"/>
      <c r="F5634" s="9" t="s">
        <v>7</v>
      </c>
    </row>
    <row r="5635" s="1" customFormat="1" customHeight="1" spans="1:6">
      <c r="A5635" s="9" t="str">
        <f>"10200518823"</f>
        <v>10200518823</v>
      </c>
      <c r="B5635" s="10">
        <v>0</v>
      </c>
      <c r="C5635" s="9"/>
      <c r="D5635" s="9">
        <f t="shared" ref="D5635:D5698" si="88">SUM(B5635:C5635)</f>
        <v>0</v>
      </c>
      <c r="E5635" s="11"/>
      <c r="F5635" s="9" t="s">
        <v>7</v>
      </c>
    </row>
    <row r="5636" s="1" customFormat="1" customHeight="1" spans="1:6">
      <c r="A5636" s="9" t="str">
        <f>"10130518824"</f>
        <v>10130518824</v>
      </c>
      <c r="B5636" s="10">
        <v>53.97</v>
      </c>
      <c r="C5636" s="9"/>
      <c r="D5636" s="9">
        <f t="shared" si="88"/>
        <v>53.97</v>
      </c>
      <c r="E5636" s="11"/>
      <c r="F5636" s="9"/>
    </row>
    <row r="5637" s="1" customFormat="1" customHeight="1" spans="1:6">
      <c r="A5637" s="9" t="str">
        <f>"10070518825"</f>
        <v>10070518825</v>
      </c>
      <c r="B5637" s="10">
        <v>34.77</v>
      </c>
      <c r="C5637" s="9"/>
      <c r="D5637" s="9">
        <f t="shared" si="88"/>
        <v>34.77</v>
      </c>
      <c r="E5637" s="11"/>
      <c r="F5637" s="9"/>
    </row>
    <row r="5638" s="1" customFormat="1" customHeight="1" spans="1:6">
      <c r="A5638" s="9" t="str">
        <f>"10320518826"</f>
        <v>10320518826</v>
      </c>
      <c r="B5638" s="10">
        <v>48.44</v>
      </c>
      <c r="C5638" s="9"/>
      <c r="D5638" s="9">
        <f t="shared" si="88"/>
        <v>48.44</v>
      </c>
      <c r="E5638" s="11"/>
      <c r="F5638" s="9"/>
    </row>
    <row r="5639" s="1" customFormat="1" customHeight="1" spans="1:6">
      <c r="A5639" s="9" t="str">
        <f>"10010518827"</f>
        <v>10010518827</v>
      </c>
      <c r="B5639" s="10">
        <v>43.72</v>
      </c>
      <c r="C5639" s="9"/>
      <c r="D5639" s="9">
        <f t="shared" si="88"/>
        <v>43.72</v>
      </c>
      <c r="E5639" s="11"/>
      <c r="F5639" s="9"/>
    </row>
    <row r="5640" s="1" customFormat="1" customHeight="1" spans="1:6">
      <c r="A5640" s="9" t="str">
        <f>"10360518828"</f>
        <v>10360518828</v>
      </c>
      <c r="B5640" s="10">
        <v>37.36</v>
      </c>
      <c r="C5640" s="9"/>
      <c r="D5640" s="9">
        <f t="shared" si="88"/>
        <v>37.36</v>
      </c>
      <c r="E5640" s="11"/>
      <c r="F5640" s="9"/>
    </row>
    <row r="5641" s="1" customFormat="1" customHeight="1" spans="1:6">
      <c r="A5641" s="9" t="str">
        <f>"10510518829"</f>
        <v>10510518829</v>
      </c>
      <c r="B5641" s="10">
        <v>42.21</v>
      </c>
      <c r="C5641" s="9"/>
      <c r="D5641" s="9">
        <f t="shared" si="88"/>
        <v>42.21</v>
      </c>
      <c r="E5641" s="11"/>
      <c r="F5641" s="9"/>
    </row>
    <row r="5642" s="1" customFormat="1" customHeight="1" spans="1:6">
      <c r="A5642" s="9" t="str">
        <f>"10210518830"</f>
        <v>10210518830</v>
      </c>
      <c r="B5642" s="10">
        <v>37.72</v>
      </c>
      <c r="C5642" s="9"/>
      <c r="D5642" s="9">
        <f t="shared" si="88"/>
        <v>37.72</v>
      </c>
      <c r="E5642" s="11"/>
      <c r="F5642" s="9"/>
    </row>
    <row r="5643" s="1" customFormat="1" customHeight="1" spans="1:6">
      <c r="A5643" s="9" t="str">
        <f>"10110518901"</f>
        <v>10110518901</v>
      </c>
      <c r="B5643" s="10">
        <v>42.77</v>
      </c>
      <c r="C5643" s="9"/>
      <c r="D5643" s="9">
        <f t="shared" si="88"/>
        <v>42.77</v>
      </c>
      <c r="E5643" s="11"/>
      <c r="F5643" s="9"/>
    </row>
    <row r="5644" s="1" customFormat="1" customHeight="1" spans="1:6">
      <c r="A5644" s="9" t="str">
        <f>"10060518902"</f>
        <v>10060518902</v>
      </c>
      <c r="B5644" s="10">
        <v>38.29</v>
      </c>
      <c r="C5644" s="9"/>
      <c r="D5644" s="9">
        <f t="shared" si="88"/>
        <v>38.29</v>
      </c>
      <c r="E5644" s="11"/>
      <c r="F5644" s="9"/>
    </row>
    <row r="5645" s="1" customFormat="1" customHeight="1" spans="1:6">
      <c r="A5645" s="9" t="str">
        <f>"10110518903"</f>
        <v>10110518903</v>
      </c>
      <c r="B5645" s="10">
        <v>40.37</v>
      </c>
      <c r="C5645" s="9"/>
      <c r="D5645" s="9">
        <f t="shared" si="88"/>
        <v>40.37</v>
      </c>
      <c r="E5645" s="11"/>
      <c r="F5645" s="9"/>
    </row>
    <row r="5646" s="1" customFormat="1" customHeight="1" spans="1:6">
      <c r="A5646" s="9" t="str">
        <f>"10360518904"</f>
        <v>10360518904</v>
      </c>
      <c r="B5646" s="10">
        <v>34.65</v>
      </c>
      <c r="C5646" s="9"/>
      <c r="D5646" s="9">
        <f t="shared" si="88"/>
        <v>34.65</v>
      </c>
      <c r="E5646" s="11"/>
      <c r="F5646" s="9"/>
    </row>
    <row r="5647" s="1" customFormat="1" customHeight="1" spans="1:6">
      <c r="A5647" s="9" t="str">
        <f>"10500518905"</f>
        <v>10500518905</v>
      </c>
      <c r="B5647" s="10">
        <v>0</v>
      </c>
      <c r="C5647" s="9"/>
      <c r="D5647" s="9">
        <f t="shared" si="88"/>
        <v>0</v>
      </c>
      <c r="E5647" s="11"/>
      <c r="F5647" s="9" t="s">
        <v>7</v>
      </c>
    </row>
    <row r="5648" s="1" customFormat="1" customHeight="1" spans="1:6">
      <c r="A5648" s="9" t="str">
        <f>"10360518906"</f>
        <v>10360518906</v>
      </c>
      <c r="B5648" s="10">
        <v>0</v>
      </c>
      <c r="C5648" s="9"/>
      <c r="D5648" s="9">
        <f t="shared" si="88"/>
        <v>0</v>
      </c>
      <c r="E5648" s="11"/>
      <c r="F5648" s="9" t="s">
        <v>7</v>
      </c>
    </row>
    <row r="5649" s="1" customFormat="1" customHeight="1" spans="1:6">
      <c r="A5649" s="9" t="str">
        <f>"10420518907"</f>
        <v>10420518907</v>
      </c>
      <c r="B5649" s="10">
        <v>39.39</v>
      </c>
      <c r="C5649" s="9"/>
      <c r="D5649" s="9">
        <f t="shared" si="88"/>
        <v>39.39</v>
      </c>
      <c r="E5649" s="11"/>
      <c r="F5649" s="9"/>
    </row>
    <row r="5650" s="1" customFormat="1" customHeight="1" spans="1:6">
      <c r="A5650" s="9" t="str">
        <f>"10270518908"</f>
        <v>10270518908</v>
      </c>
      <c r="B5650" s="10">
        <v>0</v>
      </c>
      <c r="C5650" s="9"/>
      <c r="D5650" s="9">
        <f t="shared" si="88"/>
        <v>0</v>
      </c>
      <c r="E5650" s="11"/>
      <c r="F5650" s="9" t="s">
        <v>7</v>
      </c>
    </row>
    <row r="5651" s="1" customFormat="1" customHeight="1" spans="1:6">
      <c r="A5651" s="9" t="str">
        <f>"10060518909"</f>
        <v>10060518909</v>
      </c>
      <c r="B5651" s="10">
        <v>34.14</v>
      </c>
      <c r="C5651" s="9"/>
      <c r="D5651" s="9">
        <f t="shared" si="88"/>
        <v>34.14</v>
      </c>
      <c r="E5651" s="11"/>
      <c r="F5651" s="9"/>
    </row>
    <row r="5652" s="1" customFormat="1" customHeight="1" spans="1:6">
      <c r="A5652" s="9" t="str">
        <f>"10360518910"</f>
        <v>10360518910</v>
      </c>
      <c r="B5652" s="10">
        <v>34.59</v>
      </c>
      <c r="C5652" s="9"/>
      <c r="D5652" s="9">
        <f t="shared" si="88"/>
        <v>34.59</v>
      </c>
      <c r="E5652" s="11"/>
      <c r="F5652" s="9"/>
    </row>
    <row r="5653" s="1" customFormat="1" customHeight="1" spans="1:6">
      <c r="A5653" s="9" t="str">
        <f>"10360518911"</f>
        <v>10360518911</v>
      </c>
      <c r="B5653" s="10">
        <v>0</v>
      </c>
      <c r="C5653" s="9"/>
      <c r="D5653" s="9">
        <f t="shared" si="88"/>
        <v>0</v>
      </c>
      <c r="E5653" s="11"/>
      <c r="F5653" s="9" t="s">
        <v>7</v>
      </c>
    </row>
    <row r="5654" s="1" customFormat="1" customHeight="1" spans="1:6">
      <c r="A5654" s="9" t="str">
        <f>"10510518912"</f>
        <v>10510518912</v>
      </c>
      <c r="B5654" s="10">
        <v>32.61</v>
      </c>
      <c r="C5654" s="9"/>
      <c r="D5654" s="9">
        <f t="shared" si="88"/>
        <v>32.61</v>
      </c>
      <c r="E5654" s="11"/>
      <c r="F5654" s="9"/>
    </row>
    <row r="5655" s="1" customFormat="1" customHeight="1" spans="1:6">
      <c r="A5655" s="9" t="str">
        <f>"10060518913"</f>
        <v>10060518913</v>
      </c>
      <c r="B5655" s="10">
        <v>41.2</v>
      </c>
      <c r="C5655" s="9"/>
      <c r="D5655" s="9">
        <f t="shared" si="88"/>
        <v>41.2</v>
      </c>
      <c r="E5655" s="11"/>
      <c r="F5655" s="9"/>
    </row>
    <row r="5656" s="1" customFormat="1" customHeight="1" spans="1:6">
      <c r="A5656" s="9" t="str">
        <f>"10110518914"</f>
        <v>10110518914</v>
      </c>
      <c r="B5656" s="10">
        <v>50.98</v>
      </c>
      <c r="C5656" s="9"/>
      <c r="D5656" s="9">
        <f t="shared" si="88"/>
        <v>50.98</v>
      </c>
      <c r="E5656" s="11"/>
      <c r="F5656" s="9"/>
    </row>
    <row r="5657" s="1" customFormat="1" customHeight="1" spans="1:6">
      <c r="A5657" s="9" t="str">
        <f>"10060518915"</f>
        <v>10060518915</v>
      </c>
      <c r="B5657" s="10">
        <v>34.84</v>
      </c>
      <c r="C5657" s="9"/>
      <c r="D5657" s="9">
        <f t="shared" si="88"/>
        <v>34.84</v>
      </c>
      <c r="E5657" s="11"/>
      <c r="F5657" s="9"/>
    </row>
    <row r="5658" s="1" customFormat="1" customHeight="1" spans="1:6">
      <c r="A5658" s="9" t="str">
        <f>"10360518916"</f>
        <v>10360518916</v>
      </c>
      <c r="B5658" s="10">
        <v>35.7</v>
      </c>
      <c r="C5658" s="9">
        <v>10</v>
      </c>
      <c r="D5658" s="9">
        <f t="shared" si="88"/>
        <v>45.7</v>
      </c>
      <c r="E5658" s="12" t="s">
        <v>8</v>
      </c>
      <c r="F5658" s="9"/>
    </row>
    <row r="5659" s="1" customFormat="1" customHeight="1" spans="1:6">
      <c r="A5659" s="9" t="str">
        <f>"10300518917"</f>
        <v>10300518917</v>
      </c>
      <c r="B5659" s="10">
        <v>0</v>
      </c>
      <c r="C5659" s="9"/>
      <c r="D5659" s="9">
        <f t="shared" si="88"/>
        <v>0</v>
      </c>
      <c r="E5659" s="11"/>
      <c r="F5659" s="9" t="s">
        <v>7</v>
      </c>
    </row>
    <row r="5660" s="1" customFormat="1" customHeight="1" spans="1:6">
      <c r="A5660" s="9" t="str">
        <f>"10330518918"</f>
        <v>10330518918</v>
      </c>
      <c r="B5660" s="10">
        <v>0</v>
      </c>
      <c r="C5660" s="9"/>
      <c r="D5660" s="9">
        <f t="shared" si="88"/>
        <v>0</v>
      </c>
      <c r="E5660" s="11"/>
      <c r="F5660" s="9" t="s">
        <v>7</v>
      </c>
    </row>
    <row r="5661" s="1" customFormat="1" customHeight="1" spans="1:6">
      <c r="A5661" s="9" t="str">
        <f>"10360518919"</f>
        <v>10360518919</v>
      </c>
      <c r="B5661" s="10">
        <v>37.08</v>
      </c>
      <c r="C5661" s="9"/>
      <c r="D5661" s="9">
        <f t="shared" si="88"/>
        <v>37.08</v>
      </c>
      <c r="E5661" s="11"/>
      <c r="F5661" s="9"/>
    </row>
    <row r="5662" s="1" customFormat="1" customHeight="1" spans="1:6">
      <c r="A5662" s="9" t="str">
        <f>"10060518920"</f>
        <v>10060518920</v>
      </c>
      <c r="B5662" s="10">
        <v>0</v>
      </c>
      <c r="C5662" s="9"/>
      <c r="D5662" s="9">
        <f t="shared" si="88"/>
        <v>0</v>
      </c>
      <c r="E5662" s="11"/>
      <c r="F5662" s="9" t="s">
        <v>7</v>
      </c>
    </row>
    <row r="5663" s="1" customFormat="1" customHeight="1" spans="1:6">
      <c r="A5663" s="9" t="str">
        <f>"10300518921"</f>
        <v>10300518921</v>
      </c>
      <c r="B5663" s="10">
        <v>47.99</v>
      </c>
      <c r="C5663" s="9"/>
      <c r="D5663" s="9">
        <f t="shared" si="88"/>
        <v>47.99</v>
      </c>
      <c r="E5663" s="11"/>
      <c r="F5663" s="9"/>
    </row>
    <row r="5664" s="1" customFormat="1" customHeight="1" spans="1:6">
      <c r="A5664" s="9" t="str">
        <f>"10360518922"</f>
        <v>10360518922</v>
      </c>
      <c r="B5664" s="10">
        <v>44.6</v>
      </c>
      <c r="C5664" s="9">
        <v>10</v>
      </c>
      <c r="D5664" s="9">
        <f t="shared" si="88"/>
        <v>54.6</v>
      </c>
      <c r="E5664" s="12" t="s">
        <v>8</v>
      </c>
      <c r="F5664" s="9"/>
    </row>
    <row r="5665" s="1" customFormat="1" customHeight="1" spans="1:6">
      <c r="A5665" s="9" t="str">
        <f>"10400518923"</f>
        <v>10400518923</v>
      </c>
      <c r="B5665" s="10">
        <v>0</v>
      </c>
      <c r="C5665" s="9"/>
      <c r="D5665" s="9">
        <f t="shared" si="88"/>
        <v>0</v>
      </c>
      <c r="E5665" s="11"/>
      <c r="F5665" s="9" t="s">
        <v>7</v>
      </c>
    </row>
    <row r="5666" s="1" customFormat="1" customHeight="1" spans="1:6">
      <c r="A5666" s="9" t="str">
        <f>"10240518924"</f>
        <v>10240518924</v>
      </c>
      <c r="B5666" s="10">
        <v>45.19</v>
      </c>
      <c r="C5666" s="9"/>
      <c r="D5666" s="9">
        <f t="shared" si="88"/>
        <v>45.19</v>
      </c>
      <c r="E5666" s="11"/>
      <c r="F5666" s="9"/>
    </row>
    <row r="5667" s="1" customFormat="1" customHeight="1" spans="1:6">
      <c r="A5667" s="9" t="str">
        <f>"10490518925"</f>
        <v>10490518925</v>
      </c>
      <c r="B5667" s="10">
        <v>51.07</v>
      </c>
      <c r="C5667" s="9"/>
      <c r="D5667" s="9">
        <f t="shared" si="88"/>
        <v>51.07</v>
      </c>
      <c r="E5667" s="11"/>
      <c r="F5667" s="9"/>
    </row>
    <row r="5668" s="1" customFormat="1" customHeight="1" spans="1:6">
      <c r="A5668" s="9" t="str">
        <f>"10180518926"</f>
        <v>10180518926</v>
      </c>
      <c r="B5668" s="10">
        <v>46.82</v>
      </c>
      <c r="C5668" s="9"/>
      <c r="D5668" s="9">
        <f t="shared" si="88"/>
        <v>46.82</v>
      </c>
      <c r="E5668" s="11"/>
      <c r="F5668" s="9"/>
    </row>
    <row r="5669" s="1" customFormat="1" customHeight="1" spans="1:6">
      <c r="A5669" s="9" t="str">
        <f>"10330518927"</f>
        <v>10330518927</v>
      </c>
      <c r="B5669" s="10">
        <v>0</v>
      </c>
      <c r="C5669" s="9"/>
      <c r="D5669" s="9">
        <f t="shared" si="88"/>
        <v>0</v>
      </c>
      <c r="E5669" s="11"/>
      <c r="F5669" s="9" t="s">
        <v>7</v>
      </c>
    </row>
    <row r="5670" s="1" customFormat="1" customHeight="1" spans="1:6">
      <c r="A5670" s="9" t="str">
        <f>"10510518928"</f>
        <v>10510518928</v>
      </c>
      <c r="B5670" s="10">
        <v>36.07</v>
      </c>
      <c r="C5670" s="9"/>
      <c r="D5670" s="9">
        <f t="shared" si="88"/>
        <v>36.07</v>
      </c>
      <c r="E5670" s="11"/>
      <c r="F5670" s="9"/>
    </row>
    <row r="5671" s="1" customFormat="1" customHeight="1" spans="1:6">
      <c r="A5671" s="9" t="str">
        <f>"10360518929"</f>
        <v>10360518929</v>
      </c>
      <c r="B5671" s="10">
        <v>47.08</v>
      </c>
      <c r="C5671" s="9"/>
      <c r="D5671" s="9">
        <f t="shared" si="88"/>
        <v>47.08</v>
      </c>
      <c r="E5671" s="11"/>
      <c r="F5671" s="9"/>
    </row>
    <row r="5672" s="1" customFormat="1" customHeight="1" spans="1:6">
      <c r="A5672" s="9" t="str">
        <f>"10100518930"</f>
        <v>10100518930</v>
      </c>
      <c r="B5672" s="10">
        <v>37.89</v>
      </c>
      <c r="C5672" s="9"/>
      <c r="D5672" s="9">
        <f t="shared" si="88"/>
        <v>37.89</v>
      </c>
      <c r="E5672" s="11"/>
      <c r="F5672" s="9"/>
    </row>
    <row r="5673" s="1" customFormat="1" customHeight="1" spans="1:6">
      <c r="A5673" s="9" t="str">
        <f>"10360519001"</f>
        <v>10360519001</v>
      </c>
      <c r="B5673" s="10">
        <v>37.47</v>
      </c>
      <c r="C5673" s="9"/>
      <c r="D5673" s="9">
        <f t="shared" si="88"/>
        <v>37.47</v>
      </c>
      <c r="E5673" s="11"/>
      <c r="F5673" s="9"/>
    </row>
    <row r="5674" s="1" customFormat="1" customHeight="1" spans="1:6">
      <c r="A5674" s="9" t="str">
        <f>"10360519002"</f>
        <v>10360519002</v>
      </c>
      <c r="B5674" s="10">
        <v>34.62</v>
      </c>
      <c r="C5674" s="9"/>
      <c r="D5674" s="9">
        <f t="shared" si="88"/>
        <v>34.62</v>
      </c>
      <c r="E5674" s="11"/>
      <c r="F5674" s="9"/>
    </row>
    <row r="5675" s="1" customFormat="1" customHeight="1" spans="1:6">
      <c r="A5675" s="9" t="str">
        <f>"10290519003"</f>
        <v>10290519003</v>
      </c>
      <c r="B5675" s="10">
        <v>38.76</v>
      </c>
      <c r="C5675" s="9"/>
      <c r="D5675" s="9">
        <f t="shared" si="88"/>
        <v>38.76</v>
      </c>
      <c r="E5675" s="11"/>
      <c r="F5675" s="9"/>
    </row>
    <row r="5676" s="1" customFormat="1" customHeight="1" spans="1:6">
      <c r="A5676" s="9" t="str">
        <f>"10360519004"</f>
        <v>10360519004</v>
      </c>
      <c r="B5676" s="10">
        <v>22.9</v>
      </c>
      <c r="C5676" s="9"/>
      <c r="D5676" s="9">
        <f t="shared" si="88"/>
        <v>22.9</v>
      </c>
      <c r="E5676" s="11"/>
      <c r="F5676" s="9"/>
    </row>
    <row r="5677" s="1" customFormat="1" customHeight="1" spans="1:6">
      <c r="A5677" s="9" t="str">
        <f>"10170519005"</f>
        <v>10170519005</v>
      </c>
      <c r="B5677" s="10">
        <v>0</v>
      </c>
      <c r="C5677" s="9"/>
      <c r="D5677" s="9">
        <f t="shared" si="88"/>
        <v>0</v>
      </c>
      <c r="E5677" s="11"/>
      <c r="F5677" s="9" t="s">
        <v>7</v>
      </c>
    </row>
    <row r="5678" s="1" customFormat="1" customHeight="1" spans="1:6">
      <c r="A5678" s="9" t="str">
        <f>"10110519006"</f>
        <v>10110519006</v>
      </c>
      <c r="B5678" s="10">
        <v>47.21</v>
      </c>
      <c r="C5678" s="9"/>
      <c r="D5678" s="9">
        <f t="shared" si="88"/>
        <v>47.21</v>
      </c>
      <c r="E5678" s="11"/>
      <c r="F5678" s="9"/>
    </row>
    <row r="5679" s="1" customFormat="1" customHeight="1" spans="1:6">
      <c r="A5679" s="9" t="str">
        <f>"10170519007"</f>
        <v>10170519007</v>
      </c>
      <c r="B5679" s="10">
        <v>0</v>
      </c>
      <c r="C5679" s="9"/>
      <c r="D5679" s="9">
        <f t="shared" si="88"/>
        <v>0</v>
      </c>
      <c r="E5679" s="11"/>
      <c r="F5679" s="9" t="s">
        <v>7</v>
      </c>
    </row>
    <row r="5680" s="1" customFormat="1" customHeight="1" spans="1:6">
      <c r="A5680" s="9" t="str">
        <f>"10330519008"</f>
        <v>10330519008</v>
      </c>
      <c r="B5680" s="10">
        <v>37.87</v>
      </c>
      <c r="C5680" s="9"/>
      <c r="D5680" s="9">
        <f t="shared" si="88"/>
        <v>37.87</v>
      </c>
      <c r="E5680" s="11"/>
      <c r="F5680" s="9"/>
    </row>
    <row r="5681" s="1" customFormat="1" customHeight="1" spans="1:6">
      <c r="A5681" s="9" t="str">
        <f>"20180519009"</f>
        <v>20180519009</v>
      </c>
      <c r="B5681" s="10">
        <v>0</v>
      </c>
      <c r="C5681" s="9"/>
      <c r="D5681" s="9">
        <f t="shared" si="88"/>
        <v>0</v>
      </c>
      <c r="E5681" s="11"/>
      <c r="F5681" s="9" t="s">
        <v>7</v>
      </c>
    </row>
    <row r="5682" s="1" customFormat="1" customHeight="1" spans="1:6">
      <c r="A5682" s="9" t="str">
        <f>"10060519010"</f>
        <v>10060519010</v>
      </c>
      <c r="B5682" s="10">
        <v>0</v>
      </c>
      <c r="C5682" s="9"/>
      <c r="D5682" s="9">
        <f t="shared" si="88"/>
        <v>0</v>
      </c>
      <c r="E5682" s="11"/>
      <c r="F5682" s="9" t="s">
        <v>7</v>
      </c>
    </row>
    <row r="5683" s="1" customFormat="1" customHeight="1" spans="1:6">
      <c r="A5683" s="9" t="str">
        <f>"10040519011"</f>
        <v>10040519011</v>
      </c>
      <c r="B5683" s="10">
        <v>0</v>
      </c>
      <c r="C5683" s="9"/>
      <c r="D5683" s="9">
        <f t="shared" si="88"/>
        <v>0</v>
      </c>
      <c r="E5683" s="11"/>
      <c r="F5683" s="9" t="s">
        <v>7</v>
      </c>
    </row>
    <row r="5684" s="1" customFormat="1" customHeight="1" spans="1:6">
      <c r="A5684" s="9" t="str">
        <f>"10300519012"</f>
        <v>10300519012</v>
      </c>
      <c r="B5684" s="10">
        <v>0</v>
      </c>
      <c r="C5684" s="9"/>
      <c r="D5684" s="9">
        <f t="shared" si="88"/>
        <v>0</v>
      </c>
      <c r="E5684" s="11"/>
      <c r="F5684" s="9" t="s">
        <v>7</v>
      </c>
    </row>
    <row r="5685" s="1" customFormat="1" customHeight="1" spans="1:6">
      <c r="A5685" s="9" t="str">
        <f>"10510519013"</f>
        <v>10510519013</v>
      </c>
      <c r="B5685" s="10">
        <v>35.03</v>
      </c>
      <c r="C5685" s="9"/>
      <c r="D5685" s="9">
        <f t="shared" si="88"/>
        <v>35.03</v>
      </c>
      <c r="E5685" s="11"/>
      <c r="F5685" s="9"/>
    </row>
    <row r="5686" s="1" customFormat="1" customHeight="1" spans="1:6">
      <c r="A5686" s="9" t="str">
        <f>"10060519014"</f>
        <v>10060519014</v>
      </c>
      <c r="B5686" s="10">
        <v>0</v>
      </c>
      <c r="C5686" s="9"/>
      <c r="D5686" s="9">
        <f t="shared" si="88"/>
        <v>0</v>
      </c>
      <c r="E5686" s="11"/>
      <c r="F5686" s="9" t="s">
        <v>7</v>
      </c>
    </row>
    <row r="5687" s="1" customFormat="1" customHeight="1" spans="1:6">
      <c r="A5687" s="9" t="str">
        <f>"10360519015"</f>
        <v>10360519015</v>
      </c>
      <c r="B5687" s="10">
        <v>35.35</v>
      </c>
      <c r="C5687" s="9"/>
      <c r="D5687" s="9">
        <f t="shared" si="88"/>
        <v>35.35</v>
      </c>
      <c r="E5687" s="11"/>
      <c r="F5687" s="9"/>
    </row>
    <row r="5688" s="1" customFormat="1" customHeight="1" spans="1:6">
      <c r="A5688" s="9" t="str">
        <f>"10010519016"</f>
        <v>10010519016</v>
      </c>
      <c r="B5688" s="10">
        <v>37.23</v>
      </c>
      <c r="C5688" s="9"/>
      <c r="D5688" s="9">
        <f t="shared" si="88"/>
        <v>37.23</v>
      </c>
      <c r="E5688" s="11"/>
      <c r="F5688" s="9"/>
    </row>
    <row r="5689" s="1" customFormat="1" customHeight="1" spans="1:6">
      <c r="A5689" s="9" t="str">
        <f>"10130519017"</f>
        <v>10130519017</v>
      </c>
      <c r="B5689" s="10">
        <v>37.18</v>
      </c>
      <c r="C5689" s="9"/>
      <c r="D5689" s="9">
        <f t="shared" si="88"/>
        <v>37.18</v>
      </c>
      <c r="E5689" s="11"/>
      <c r="F5689" s="9"/>
    </row>
    <row r="5690" s="1" customFormat="1" customHeight="1" spans="1:6">
      <c r="A5690" s="9" t="str">
        <f>"10100519018"</f>
        <v>10100519018</v>
      </c>
      <c r="B5690" s="10">
        <v>0</v>
      </c>
      <c r="C5690" s="9"/>
      <c r="D5690" s="9">
        <f t="shared" si="88"/>
        <v>0</v>
      </c>
      <c r="E5690" s="11"/>
      <c r="F5690" s="9" t="s">
        <v>7</v>
      </c>
    </row>
    <row r="5691" s="1" customFormat="1" customHeight="1" spans="1:6">
      <c r="A5691" s="9" t="str">
        <f>"10300519019"</f>
        <v>10300519019</v>
      </c>
      <c r="B5691" s="10">
        <v>35.53</v>
      </c>
      <c r="C5691" s="9"/>
      <c r="D5691" s="9">
        <f t="shared" si="88"/>
        <v>35.53</v>
      </c>
      <c r="E5691" s="11"/>
      <c r="F5691" s="9"/>
    </row>
    <row r="5692" s="1" customFormat="1" customHeight="1" spans="1:6">
      <c r="A5692" s="9" t="str">
        <f>"10300519020"</f>
        <v>10300519020</v>
      </c>
      <c r="B5692" s="10">
        <v>44.72</v>
      </c>
      <c r="C5692" s="9"/>
      <c r="D5692" s="9">
        <f t="shared" si="88"/>
        <v>44.72</v>
      </c>
      <c r="E5692" s="11"/>
      <c r="F5692" s="9"/>
    </row>
    <row r="5693" s="1" customFormat="1" customHeight="1" spans="1:6">
      <c r="A5693" s="9" t="str">
        <f>"10240519021"</f>
        <v>10240519021</v>
      </c>
      <c r="B5693" s="10">
        <v>77.31</v>
      </c>
      <c r="C5693" s="9"/>
      <c r="D5693" s="9">
        <f t="shared" si="88"/>
        <v>77.31</v>
      </c>
      <c r="E5693" s="11"/>
      <c r="F5693" s="9"/>
    </row>
    <row r="5694" s="1" customFormat="1" customHeight="1" spans="1:6">
      <c r="A5694" s="9" t="str">
        <f>"10210519022"</f>
        <v>10210519022</v>
      </c>
      <c r="B5694" s="10">
        <v>40.86</v>
      </c>
      <c r="C5694" s="9"/>
      <c r="D5694" s="9">
        <f t="shared" si="88"/>
        <v>40.86</v>
      </c>
      <c r="E5694" s="11"/>
      <c r="F5694" s="9"/>
    </row>
    <row r="5695" s="1" customFormat="1" customHeight="1" spans="1:6">
      <c r="A5695" s="9" t="str">
        <f>"20180519023"</f>
        <v>20180519023</v>
      </c>
      <c r="B5695" s="10">
        <v>34.46</v>
      </c>
      <c r="C5695" s="9"/>
      <c r="D5695" s="9">
        <f t="shared" si="88"/>
        <v>34.46</v>
      </c>
      <c r="E5695" s="11"/>
      <c r="F5695" s="9"/>
    </row>
    <row r="5696" s="1" customFormat="1" customHeight="1" spans="1:6">
      <c r="A5696" s="9" t="str">
        <f>"10480519024"</f>
        <v>10480519024</v>
      </c>
      <c r="B5696" s="10">
        <v>40.15</v>
      </c>
      <c r="C5696" s="9"/>
      <c r="D5696" s="9">
        <f t="shared" si="88"/>
        <v>40.15</v>
      </c>
      <c r="E5696" s="11"/>
      <c r="F5696" s="9"/>
    </row>
    <row r="5697" s="1" customFormat="1" customHeight="1" spans="1:6">
      <c r="A5697" s="9" t="str">
        <f>"10130519025"</f>
        <v>10130519025</v>
      </c>
      <c r="B5697" s="10">
        <v>46.15</v>
      </c>
      <c r="C5697" s="9"/>
      <c r="D5697" s="9">
        <f t="shared" si="88"/>
        <v>46.15</v>
      </c>
      <c r="E5697" s="11"/>
      <c r="F5697" s="9"/>
    </row>
    <row r="5698" s="1" customFormat="1" customHeight="1" spans="1:6">
      <c r="A5698" s="9" t="str">
        <f>"10360519026"</f>
        <v>10360519026</v>
      </c>
      <c r="B5698" s="10">
        <v>0</v>
      </c>
      <c r="C5698" s="9"/>
      <c r="D5698" s="9">
        <f t="shared" si="88"/>
        <v>0</v>
      </c>
      <c r="E5698" s="11"/>
      <c r="F5698" s="9" t="s">
        <v>7</v>
      </c>
    </row>
    <row r="5699" s="1" customFormat="1" customHeight="1" spans="1:6">
      <c r="A5699" s="9" t="str">
        <f>"10060519027"</f>
        <v>10060519027</v>
      </c>
      <c r="B5699" s="10">
        <v>33.71</v>
      </c>
      <c r="C5699" s="9"/>
      <c r="D5699" s="9">
        <f t="shared" ref="D5699:D5762" si="89">SUM(B5699:C5699)</f>
        <v>33.71</v>
      </c>
      <c r="E5699" s="11"/>
      <c r="F5699" s="9"/>
    </row>
    <row r="5700" s="1" customFormat="1" customHeight="1" spans="1:6">
      <c r="A5700" s="9" t="str">
        <f>"10510519028"</f>
        <v>10510519028</v>
      </c>
      <c r="B5700" s="10">
        <v>52.65</v>
      </c>
      <c r="C5700" s="9"/>
      <c r="D5700" s="9">
        <f t="shared" si="89"/>
        <v>52.65</v>
      </c>
      <c r="E5700" s="11"/>
      <c r="F5700" s="9"/>
    </row>
    <row r="5701" s="1" customFormat="1" customHeight="1" spans="1:6">
      <c r="A5701" s="9" t="str">
        <f>"10470519029"</f>
        <v>10470519029</v>
      </c>
      <c r="B5701" s="10">
        <v>39.03</v>
      </c>
      <c r="C5701" s="9"/>
      <c r="D5701" s="9">
        <f t="shared" si="89"/>
        <v>39.03</v>
      </c>
      <c r="E5701" s="11"/>
      <c r="F5701" s="9"/>
    </row>
    <row r="5702" s="1" customFormat="1" customHeight="1" spans="1:6">
      <c r="A5702" s="9" t="str">
        <f>"10410519030"</f>
        <v>10410519030</v>
      </c>
      <c r="B5702" s="10">
        <v>0</v>
      </c>
      <c r="C5702" s="9"/>
      <c r="D5702" s="9">
        <f t="shared" si="89"/>
        <v>0</v>
      </c>
      <c r="E5702" s="11"/>
      <c r="F5702" s="9" t="s">
        <v>7</v>
      </c>
    </row>
    <row r="5703" s="1" customFormat="1" customHeight="1" spans="1:6">
      <c r="A5703" s="9" t="str">
        <f>"10360519101"</f>
        <v>10360519101</v>
      </c>
      <c r="B5703" s="10">
        <v>45.11</v>
      </c>
      <c r="C5703" s="9"/>
      <c r="D5703" s="9">
        <f t="shared" si="89"/>
        <v>45.11</v>
      </c>
      <c r="E5703" s="11"/>
      <c r="F5703" s="9"/>
    </row>
    <row r="5704" s="1" customFormat="1" customHeight="1" spans="1:6">
      <c r="A5704" s="9" t="str">
        <f>"10280519102"</f>
        <v>10280519102</v>
      </c>
      <c r="B5704" s="10">
        <v>0</v>
      </c>
      <c r="C5704" s="9"/>
      <c r="D5704" s="9">
        <f t="shared" si="89"/>
        <v>0</v>
      </c>
      <c r="E5704" s="11"/>
      <c r="F5704" s="9" t="s">
        <v>7</v>
      </c>
    </row>
    <row r="5705" s="1" customFormat="1" customHeight="1" spans="1:6">
      <c r="A5705" s="9" t="str">
        <f>"10480519103"</f>
        <v>10480519103</v>
      </c>
      <c r="B5705" s="10">
        <v>0</v>
      </c>
      <c r="C5705" s="9"/>
      <c r="D5705" s="9">
        <f t="shared" si="89"/>
        <v>0</v>
      </c>
      <c r="E5705" s="11"/>
      <c r="F5705" s="9" t="s">
        <v>7</v>
      </c>
    </row>
    <row r="5706" s="1" customFormat="1" customHeight="1" spans="1:6">
      <c r="A5706" s="9" t="str">
        <f>"10440519104"</f>
        <v>10440519104</v>
      </c>
      <c r="B5706" s="10">
        <v>43.2</v>
      </c>
      <c r="C5706" s="9"/>
      <c r="D5706" s="9">
        <f t="shared" si="89"/>
        <v>43.2</v>
      </c>
      <c r="E5706" s="11"/>
      <c r="F5706" s="9"/>
    </row>
    <row r="5707" s="1" customFormat="1" customHeight="1" spans="1:6">
      <c r="A5707" s="9" t="str">
        <f>"20270519105"</f>
        <v>20270519105</v>
      </c>
      <c r="B5707" s="10">
        <v>39.78</v>
      </c>
      <c r="C5707" s="9"/>
      <c r="D5707" s="9">
        <f t="shared" si="89"/>
        <v>39.78</v>
      </c>
      <c r="E5707" s="11"/>
      <c r="F5707" s="9"/>
    </row>
    <row r="5708" s="1" customFormat="1" customHeight="1" spans="1:6">
      <c r="A5708" s="9" t="str">
        <f>"10280519106"</f>
        <v>10280519106</v>
      </c>
      <c r="B5708" s="10">
        <v>35.8</v>
      </c>
      <c r="C5708" s="9"/>
      <c r="D5708" s="9">
        <f t="shared" si="89"/>
        <v>35.8</v>
      </c>
      <c r="E5708" s="11"/>
      <c r="F5708" s="9"/>
    </row>
    <row r="5709" s="1" customFormat="1" customHeight="1" spans="1:6">
      <c r="A5709" s="9" t="str">
        <f>"10440519107"</f>
        <v>10440519107</v>
      </c>
      <c r="B5709" s="10">
        <v>38.66</v>
      </c>
      <c r="C5709" s="9"/>
      <c r="D5709" s="9">
        <f t="shared" si="89"/>
        <v>38.66</v>
      </c>
      <c r="E5709" s="11"/>
      <c r="F5709" s="9"/>
    </row>
    <row r="5710" s="1" customFormat="1" customHeight="1" spans="1:6">
      <c r="A5710" s="9" t="str">
        <f>"10300519108"</f>
        <v>10300519108</v>
      </c>
      <c r="B5710" s="10">
        <v>0</v>
      </c>
      <c r="C5710" s="9"/>
      <c r="D5710" s="9">
        <f t="shared" si="89"/>
        <v>0</v>
      </c>
      <c r="E5710" s="11"/>
      <c r="F5710" s="9" t="s">
        <v>7</v>
      </c>
    </row>
    <row r="5711" s="1" customFormat="1" customHeight="1" spans="1:6">
      <c r="A5711" s="9" t="str">
        <f>"10520519109"</f>
        <v>10520519109</v>
      </c>
      <c r="B5711" s="10">
        <v>42.23</v>
      </c>
      <c r="C5711" s="9">
        <v>10</v>
      </c>
      <c r="D5711" s="9">
        <f t="shared" si="89"/>
        <v>52.23</v>
      </c>
      <c r="E5711" s="12" t="s">
        <v>8</v>
      </c>
      <c r="F5711" s="9"/>
    </row>
    <row r="5712" s="1" customFormat="1" customHeight="1" spans="1:6">
      <c r="A5712" s="9" t="str">
        <f>"10110519110"</f>
        <v>10110519110</v>
      </c>
      <c r="B5712" s="10">
        <v>54.03</v>
      </c>
      <c r="C5712" s="9"/>
      <c r="D5712" s="9">
        <f t="shared" si="89"/>
        <v>54.03</v>
      </c>
      <c r="E5712" s="11"/>
      <c r="F5712" s="9"/>
    </row>
    <row r="5713" s="1" customFormat="1" customHeight="1" spans="1:6">
      <c r="A5713" s="9" t="str">
        <f>"10360519111"</f>
        <v>10360519111</v>
      </c>
      <c r="B5713" s="10">
        <v>0</v>
      </c>
      <c r="C5713" s="9"/>
      <c r="D5713" s="9">
        <f t="shared" si="89"/>
        <v>0</v>
      </c>
      <c r="E5713" s="11"/>
      <c r="F5713" s="9" t="s">
        <v>7</v>
      </c>
    </row>
    <row r="5714" s="1" customFormat="1" customHeight="1" spans="1:6">
      <c r="A5714" s="9" t="str">
        <f>"10080519112"</f>
        <v>10080519112</v>
      </c>
      <c r="B5714" s="10">
        <v>39.25</v>
      </c>
      <c r="C5714" s="9"/>
      <c r="D5714" s="9">
        <f t="shared" si="89"/>
        <v>39.25</v>
      </c>
      <c r="E5714" s="11"/>
      <c r="F5714" s="9"/>
    </row>
    <row r="5715" s="1" customFormat="1" customHeight="1" spans="1:6">
      <c r="A5715" s="9" t="str">
        <f>"10140519113"</f>
        <v>10140519113</v>
      </c>
      <c r="B5715" s="10">
        <v>41.34</v>
      </c>
      <c r="C5715" s="9"/>
      <c r="D5715" s="9">
        <f t="shared" si="89"/>
        <v>41.34</v>
      </c>
      <c r="E5715" s="11"/>
      <c r="F5715" s="9"/>
    </row>
    <row r="5716" s="1" customFormat="1" customHeight="1" spans="1:6">
      <c r="A5716" s="9" t="str">
        <f>"10360519114"</f>
        <v>10360519114</v>
      </c>
      <c r="B5716" s="10">
        <v>46.41</v>
      </c>
      <c r="C5716" s="9"/>
      <c r="D5716" s="9">
        <f t="shared" si="89"/>
        <v>46.41</v>
      </c>
      <c r="E5716" s="11"/>
      <c r="F5716" s="9"/>
    </row>
    <row r="5717" s="1" customFormat="1" customHeight="1" spans="1:6">
      <c r="A5717" s="9" t="str">
        <f>"20270519115"</f>
        <v>20270519115</v>
      </c>
      <c r="B5717" s="10">
        <v>37.76</v>
      </c>
      <c r="C5717" s="9"/>
      <c r="D5717" s="9">
        <f t="shared" si="89"/>
        <v>37.76</v>
      </c>
      <c r="E5717" s="11"/>
      <c r="F5717" s="9"/>
    </row>
    <row r="5718" s="1" customFormat="1" customHeight="1" spans="1:6">
      <c r="A5718" s="9" t="str">
        <f>"10180519116"</f>
        <v>10180519116</v>
      </c>
      <c r="B5718" s="10">
        <v>47.34</v>
      </c>
      <c r="C5718" s="9"/>
      <c r="D5718" s="9">
        <f t="shared" si="89"/>
        <v>47.34</v>
      </c>
      <c r="E5718" s="11"/>
      <c r="F5718" s="9"/>
    </row>
    <row r="5719" s="1" customFormat="1" customHeight="1" spans="1:6">
      <c r="A5719" s="9" t="str">
        <f>"10360519117"</f>
        <v>10360519117</v>
      </c>
      <c r="B5719" s="10">
        <v>0</v>
      </c>
      <c r="C5719" s="9"/>
      <c r="D5719" s="9">
        <f t="shared" si="89"/>
        <v>0</v>
      </c>
      <c r="E5719" s="11"/>
      <c r="F5719" s="9" t="s">
        <v>7</v>
      </c>
    </row>
    <row r="5720" s="1" customFormat="1" customHeight="1" spans="1:6">
      <c r="A5720" s="9" t="str">
        <f>"10500519118"</f>
        <v>10500519118</v>
      </c>
      <c r="B5720" s="10">
        <v>26.8</v>
      </c>
      <c r="C5720" s="9"/>
      <c r="D5720" s="9">
        <f t="shared" si="89"/>
        <v>26.8</v>
      </c>
      <c r="E5720" s="11"/>
      <c r="F5720" s="9"/>
    </row>
    <row r="5721" s="1" customFormat="1" customHeight="1" spans="1:6">
      <c r="A5721" s="9" t="str">
        <f>"10360519119"</f>
        <v>10360519119</v>
      </c>
      <c r="B5721" s="10">
        <v>37.38</v>
      </c>
      <c r="C5721" s="9"/>
      <c r="D5721" s="9">
        <f t="shared" si="89"/>
        <v>37.38</v>
      </c>
      <c r="E5721" s="11"/>
      <c r="F5721" s="9"/>
    </row>
    <row r="5722" s="1" customFormat="1" customHeight="1" spans="1:6">
      <c r="A5722" s="9" t="str">
        <f>"10530519120"</f>
        <v>10530519120</v>
      </c>
      <c r="B5722" s="10">
        <v>30.32</v>
      </c>
      <c r="C5722" s="9"/>
      <c r="D5722" s="9">
        <f t="shared" si="89"/>
        <v>30.32</v>
      </c>
      <c r="E5722" s="11"/>
      <c r="F5722" s="9"/>
    </row>
    <row r="5723" s="1" customFormat="1" customHeight="1" spans="1:6">
      <c r="A5723" s="9" t="str">
        <f>"10020519121"</f>
        <v>10020519121</v>
      </c>
      <c r="B5723" s="10">
        <v>57.35</v>
      </c>
      <c r="C5723" s="9"/>
      <c r="D5723" s="9">
        <f t="shared" si="89"/>
        <v>57.35</v>
      </c>
      <c r="E5723" s="11"/>
      <c r="F5723" s="9"/>
    </row>
    <row r="5724" s="1" customFormat="1" customHeight="1" spans="1:6">
      <c r="A5724" s="9" t="str">
        <f>"10530519122"</f>
        <v>10530519122</v>
      </c>
      <c r="B5724" s="10">
        <v>0</v>
      </c>
      <c r="C5724" s="9"/>
      <c r="D5724" s="9">
        <f t="shared" si="89"/>
        <v>0</v>
      </c>
      <c r="E5724" s="11"/>
      <c r="F5724" s="9" t="s">
        <v>7</v>
      </c>
    </row>
    <row r="5725" s="1" customFormat="1" customHeight="1" spans="1:6">
      <c r="A5725" s="9" t="str">
        <f>"10360519123"</f>
        <v>10360519123</v>
      </c>
      <c r="B5725" s="10">
        <v>0</v>
      </c>
      <c r="C5725" s="9"/>
      <c r="D5725" s="9">
        <f t="shared" si="89"/>
        <v>0</v>
      </c>
      <c r="E5725" s="11"/>
      <c r="F5725" s="9" t="s">
        <v>7</v>
      </c>
    </row>
    <row r="5726" s="1" customFormat="1" customHeight="1" spans="1:6">
      <c r="A5726" s="9" t="str">
        <f>"20270519124"</f>
        <v>20270519124</v>
      </c>
      <c r="B5726" s="10">
        <v>42.78</v>
      </c>
      <c r="C5726" s="9"/>
      <c r="D5726" s="9">
        <f t="shared" si="89"/>
        <v>42.78</v>
      </c>
      <c r="E5726" s="11"/>
      <c r="F5726" s="9"/>
    </row>
    <row r="5727" s="1" customFormat="1" customHeight="1" spans="1:6">
      <c r="A5727" s="9" t="str">
        <f>"10350519125"</f>
        <v>10350519125</v>
      </c>
      <c r="B5727" s="10">
        <v>0</v>
      </c>
      <c r="C5727" s="9"/>
      <c r="D5727" s="9">
        <f t="shared" si="89"/>
        <v>0</v>
      </c>
      <c r="E5727" s="11"/>
      <c r="F5727" s="9" t="s">
        <v>7</v>
      </c>
    </row>
    <row r="5728" s="1" customFormat="1" customHeight="1" spans="1:6">
      <c r="A5728" s="9" t="str">
        <f>"10330519126"</f>
        <v>10330519126</v>
      </c>
      <c r="B5728" s="10">
        <v>51.64</v>
      </c>
      <c r="C5728" s="9"/>
      <c r="D5728" s="9">
        <f t="shared" si="89"/>
        <v>51.64</v>
      </c>
      <c r="E5728" s="11"/>
      <c r="F5728" s="9"/>
    </row>
    <row r="5729" s="1" customFormat="1" customHeight="1" spans="1:6">
      <c r="A5729" s="9" t="str">
        <f>"20270519127"</f>
        <v>20270519127</v>
      </c>
      <c r="B5729" s="10">
        <v>40.81</v>
      </c>
      <c r="C5729" s="9"/>
      <c r="D5729" s="9">
        <f t="shared" si="89"/>
        <v>40.81</v>
      </c>
      <c r="E5729" s="11"/>
      <c r="F5729" s="9"/>
    </row>
    <row r="5730" s="1" customFormat="1" customHeight="1" spans="1:6">
      <c r="A5730" s="9" t="str">
        <f>"10190519128"</f>
        <v>10190519128</v>
      </c>
      <c r="B5730" s="10">
        <v>0</v>
      </c>
      <c r="C5730" s="9"/>
      <c r="D5730" s="9">
        <f t="shared" si="89"/>
        <v>0</v>
      </c>
      <c r="E5730" s="11"/>
      <c r="F5730" s="9" t="s">
        <v>7</v>
      </c>
    </row>
    <row r="5731" s="1" customFormat="1" customHeight="1" spans="1:6">
      <c r="A5731" s="9" t="str">
        <f>"10500519129"</f>
        <v>10500519129</v>
      </c>
      <c r="B5731" s="10">
        <v>38.89</v>
      </c>
      <c r="C5731" s="9">
        <v>10</v>
      </c>
      <c r="D5731" s="9">
        <f t="shared" si="89"/>
        <v>48.89</v>
      </c>
      <c r="E5731" s="12" t="s">
        <v>8</v>
      </c>
      <c r="F5731" s="9"/>
    </row>
    <row r="5732" s="1" customFormat="1" customHeight="1" spans="1:6">
      <c r="A5732" s="9" t="str">
        <f>"10530519130"</f>
        <v>10530519130</v>
      </c>
      <c r="B5732" s="10">
        <v>0</v>
      </c>
      <c r="C5732" s="9"/>
      <c r="D5732" s="9">
        <f t="shared" si="89"/>
        <v>0</v>
      </c>
      <c r="E5732" s="11"/>
      <c r="F5732" s="9" t="s">
        <v>7</v>
      </c>
    </row>
    <row r="5733" s="1" customFormat="1" customHeight="1" spans="1:6">
      <c r="A5733" s="9" t="str">
        <f>"10340519201"</f>
        <v>10340519201</v>
      </c>
      <c r="B5733" s="10">
        <v>0</v>
      </c>
      <c r="C5733" s="9"/>
      <c r="D5733" s="9">
        <f t="shared" si="89"/>
        <v>0</v>
      </c>
      <c r="E5733" s="11"/>
      <c r="F5733" s="9" t="s">
        <v>7</v>
      </c>
    </row>
    <row r="5734" s="1" customFormat="1" customHeight="1" spans="1:6">
      <c r="A5734" s="9" t="str">
        <f>"10280519202"</f>
        <v>10280519202</v>
      </c>
      <c r="B5734" s="10">
        <v>35.83</v>
      </c>
      <c r="C5734" s="9"/>
      <c r="D5734" s="9">
        <f t="shared" si="89"/>
        <v>35.83</v>
      </c>
      <c r="E5734" s="11"/>
      <c r="F5734" s="9"/>
    </row>
    <row r="5735" s="1" customFormat="1" customHeight="1" spans="1:6">
      <c r="A5735" s="9" t="str">
        <f>"10300519203"</f>
        <v>10300519203</v>
      </c>
      <c r="B5735" s="10">
        <v>36.35</v>
      </c>
      <c r="C5735" s="9"/>
      <c r="D5735" s="9">
        <f t="shared" si="89"/>
        <v>36.35</v>
      </c>
      <c r="E5735" s="11"/>
      <c r="F5735" s="9"/>
    </row>
    <row r="5736" s="1" customFormat="1" customHeight="1" spans="1:6">
      <c r="A5736" s="9" t="str">
        <f>"10360519204"</f>
        <v>10360519204</v>
      </c>
      <c r="B5736" s="10">
        <v>35.99</v>
      </c>
      <c r="C5736" s="9"/>
      <c r="D5736" s="9">
        <f t="shared" si="89"/>
        <v>35.99</v>
      </c>
      <c r="E5736" s="11"/>
      <c r="F5736" s="9"/>
    </row>
    <row r="5737" s="1" customFormat="1" customHeight="1" spans="1:6">
      <c r="A5737" s="9" t="str">
        <f>"10360519205"</f>
        <v>10360519205</v>
      </c>
      <c r="B5737" s="10">
        <v>0</v>
      </c>
      <c r="C5737" s="9"/>
      <c r="D5737" s="9">
        <f t="shared" si="89"/>
        <v>0</v>
      </c>
      <c r="E5737" s="11"/>
      <c r="F5737" s="9" t="s">
        <v>7</v>
      </c>
    </row>
    <row r="5738" s="1" customFormat="1" customHeight="1" spans="1:6">
      <c r="A5738" s="9" t="str">
        <f>"10100519206"</f>
        <v>10100519206</v>
      </c>
      <c r="B5738" s="10">
        <v>43.88</v>
      </c>
      <c r="C5738" s="9"/>
      <c r="D5738" s="9">
        <f t="shared" si="89"/>
        <v>43.88</v>
      </c>
      <c r="E5738" s="11"/>
      <c r="F5738" s="9"/>
    </row>
    <row r="5739" s="1" customFormat="1" customHeight="1" spans="1:6">
      <c r="A5739" s="9" t="str">
        <f>"10530519207"</f>
        <v>10530519207</v>
      </c>
      <c r="B5739" s="10">
        <v>0</v>
      </c>
      <c r="C5739" s="9"/>
      <c r="D5739" s="9">
        <f t="shared" si="89"/>
        <v>0</v>
      </c>
      <c r="E5739" s="11"/>
      <c r="F5739" s="9" t="s">
        <v>7</v>
      </c>
    </row>
    <row r="5740" s="1" customFormat="1" customHeight="1" spans="1:6">
      <c r="A5740" s="9" t="str">
        <f>"10490519208"</f>
        <v>10490519208</v>
      </c>
      <c r="B5740" s="10">
        <v>51.49</v>
      </c>
      <c r="C5740" s="9"/>
      <c r="D5740" s="9">
        <f t="shared" si="89"/>
        <v>51.49</v>
      </c>
      <c r="E5740" s="11"/>
      <c r="F5740" s="9"/>
    </row>
    <row r="5741" s="1" customFormat="1" customHeight="1" spans="1:6">
      <c r="A5741" s="9" t="str">
        <f>"10110519209"</f>
        <v>10110519209</v>
      </c>
      <c r="B5741" s="10">
        <v>0</v>
      </c>
      <c r="C5741" s="9"/>
      <c r="D5741" s="9">
        <f t="shared" si="89"/>
        <v>0</v>
      </c>
      <c r="E5741" s="11"/>
      <c r="F5741" s="9" t="s">
        <v>7</v>
      </c>
    </row>
    <row r="5742" s="1" customFormat="1" customHeight="1" spans="1:6">
      <c r="A5742" s="9" t="str">
        <f>"10360519210"</f>
        <v>10360519210</v>
      </c>
      <c r="B5742" s="10">
        <v>30.36</v>
      </c>
      <c r="C5742" s="9"/>
      <c r="D5742" s="9">
        <f t="shared" si="89"/>
        <v>30.36</v>
      </c>
      <c r="E5742" s="11"/>
      <c r="F5742" s="9"/>
    </row>
    <row r="5743" s="1" customFormat="1" customHeight="1" spans="1:6">
      <c r="A5743" s="9" t="str">
        <f>"10090519211"</f>
        <v>10090519211</v>
      </c>
      <c r="B5743" s="10">
        <v>0</v>
      </c>
      <c r="C5743" s="9"/>
      <c r="D5743" s="9">
        <f t="shared" si="89"/>
        <v>0</v>
      </c>
      <c r="E5743" s="11"/>
      <c r="F5743" s="9" t="s">
        <v>7</v>
      </c>
    </row>
    <row r="5744" s="1" customFormat="1" customHeight="1" spans="1:6">
      <c r="A5744" s="9" t="str">
        <f>"10280519212"</f>
        <v>10280519212</v>
      </c>
      <c r="B5744" s="10">
        <v>39.37</v>
      </c>
      <c r="C5744" s="9"/>
      <c r="D5744" s="9">
        <f t="shared" si="89"/>
        <v>39.37</v>
      </c>
      <c r="E5744" s="11"/>
      <c r="F5744" s="9"/>
    </row>
    <row r="5745" s="1" customFormat="1" customHeight="1" spans="1:6">
      <c r="A5745" s="9" t="str">
        <f>"10360519213"</f>
        <v>10360519213</v>
      </c>
      <c r="B5745" s="10">
        <v>0</v>
      </c>
      <c r="C5745" s="9"/>
      <c r="D5745" s="9">
        <f t="shared" si="89"/>
        <v>0</v>
      </c>
      <c r="E5745" s="11"/>
      <c r="F5745" s="9" t="s">
        <v>7</v>
      </c>
    </row>
    <row r="5746" s="1" customFormat="1" customHeight="1" spans="1:6">
      <c r="A5746" s="9" t="str">
        <f>"10300519214"</f>
        <v>10300519214</v>
      </c>
      <c r="B5746" s="10">
        <v>43.56</v>
      </c>
      <c r="C5746" s="9"/>
      <c r="D5746" s="9">
        <f t="shared" si="89"/>
        <v>43.56</v>
      </c>
      <c r="E5746" s="11"/>
      <c r="F5746" s="9"/>
    </row>
    <row r="5747" s="1" customFormat="1" customHeight="1" spans="1:6">
      <c r="A5747" s="9" t="str">
        <f>"10130519215"</f>
        <v>10130519215</v>
      </c>
      <c r="B5747" s="10">
        <v>0</v>
      </c>
      <c r="C5747" s="9"/>
      <c r="D5747" s="9">
        <f t="shared" si="89"/>
        <v>0</v>
      </c>
      <c r="E5747" s="11"/>
      <c r="F5747" s="9" t="s">
        <v>7</v>
      </c>
    </row>
    <row r="5748" s="1" customFormat="1" customHeight="1" spans="1:6">
      <c r="A5748" s="9" t="str">
        <f>"10530519216"</f>
        <v>10530519216</v>
      </c>
      <c r="B5748" s="10">
        <v>46.27</v>
      </c>
      <c r="C5748" s="9"/>
      <c r="D5748" s="9">
        <f t="shared" si="89"/>
        <v>46.27</v>
      </c>
      <c r="E5748" s="11"/>
      <c r="F5748" s="9"/>
    </row>
    <row r="5749" s="1" customFormat="1" customHeight="1" spans="1:6">
      <c r="A5749" s="9" t="str">
        <f>"10040519217"</f>
        <v>10040519217</v>
      </c>
      <c r="B5749" s="10">
        <v>44.61</v>
      </c>
      <c r="C5749" s="9"/>
      <c r="D5749" s="9">
        <f t="shared" si="89"/>
        <v>44.61</v>
      </c>
      <c r="E5749" s="11"/>
      <c r="F5749" s="9"/>
    </row>
    <row r="5750" s="1" customFormat="1" customHeight="1" spans="1:6">
      <c r="A5750" s="9" t="str">
        <f>"10360519218"</f>
        <v>10360519218</v>
      </c>
      <c r="B5750" s="10">
        <v>37.23</v>
      </c>
      <c r="C5750" s="9"/>
      <c r="D5750" s="9">
        <f t="shared" si="89"/>
        <v>37.23</v>
      </c>
      <c r="E5750" s="11"/>
      <c r="F5750" s="9"/>
    </row>
    <row r="5751" s="1" customFormat="1" customHeight="1" spans="1:6">
      <c r="A5751" s="9" t="str">
        <f>"10360519219"</f>
        <v>10360519219</v>
      </c>
      <c r="B5751" s="10">
        <v>0</v>
      </c>
      <c r="C5751" s="9"/>
      <c r="D5751" s="9">
        <f t="shared" si="89"/>
        <v>0</v>
      </c>
      <c r="E5751" s="11"/>
      <c r="F5751" s="9" t="s">
        <v>7</v>
      </c>
    </row>
    <row r="5752" s="1" customFormat="1" customHeight="1" spans="1:6">
      <c r="A5752" s="9" t="str">
        <f>"10360519220"</f>
        <v>10360519220</v>
      </c>
      <c r="B5752" s="10">
        <v>0</v>
      </c>
      <c r="C5752" s="9"/>
      <c r="D5752" s="9">
        <f t="shared" si="89"/>
        <v>0</v>
      </c>
      <c r="E5752" s="11"/>
      <c r="F5752" s="9" t="s">
        <v>7</v>
      </c>
    </row>
    <row r="5753" s="1" customFormat="1" customHeight="1" spans="1:6">
      <c r="A5753" s="9" t="str">
        <f>"10360519221"</f>
        <v>10360519221</v>
      </c>
      <c r="B5753" s="10">
        <v>34.35</v>
      </c>
      <c r="C5753" s="9"/>
      <c r="D5753" s="9">
        <f t="shared" si="89"/>
        <v>34.35</v>
      </c>
      <c r="E5753" s="11"/>
      <c r="F5753" s="9"/>
    </row>
    <row r="5754" s="1" customFormat="1" customHeight="1" spans="1:6">
      <c r="A5754" s="9" t="str">
        <f>"10150519222"</f>
        <v>10150519222</v>
      </c>
      <c r="B5754" s="10">
        <v>0</v>
      </c>
      <c r="C5754" s="9"/>
      <c r="D5754" s="9">
        <f t="shared" si="89"/>
        <v>0</v>
      </c>
      <c r="E5754" s="11"/>
      <c r="F5754" s="9" t="s">
        <v>7</v>
      </c>
    </row>
    <row r="5755" s="1" customFormat="1" customHeight="1" spans="1:6">
      <c r="A5755" s="9" t="str">
        <f>"10330519223"</f>
        <v>10330519223</v>
      </c>
      <c r="B5755" s="10">
        <v>40.39</v>
      </c>
      <c r="C5755" s="9"/>
      <c r="D5755" s="9">
        <f t="shared" si="89"/>
        <v>40.39</v>
      </c>
      <c r="E5755" s="11"/>
      <c r="F5755" s="9"/>
    </row>
    <row r="5756" s="1" customFormat="1" customHeight="1" spans="1:6">
      <c r="A5756" s="9" t="str">
        <f>"10360519224"</f>
        <v>10360519224</v>
      </c>
      <c r="B5756" s="10">
        <v>25.27</v>
      </c>
      <c r="C5756" s="9"/>
      <c r="D5756" s="9">
        <f t="shared" si="89"/>
        <v>25.27</v>
      </c>
      <c r="E5756" s="11"/>
      <c r="F5756" s="9"/>
    </row>
    <row r="5757" s="1" customFormat="1" customHeight="1" spans="1:6">
      <c r="A5757" s="9" t="str">
        <f>"10330519225"</f>
        <v>10330519225</v>
      </c>
      <c r="B5757" s="10">
        <v>43.15</v>
      </c>
      <c r="C5757" s="9">
        <v>10</v>
      </c>
      <c r="D5757" s="9">
        <f t="shared" si="89"/>
        <v>53.15</v>
      </c>
      <c r="E5757" s="12" t="s">
        <v>8</v>
      </c>
      <c r="F5757" s="9"/>
    </row>
    <row r="5758" s="1" customFormat="1" customHeight="1" spans="1:6">
      <c r="A5758" s="9" t="str">
        <f>"10060519226"</f>
        <v>10060519226</v>
      </c>
      <c r="B5758" s="10">
        <v>32.16</v>
      </c>
      <c r="C5758" s="9"/>
      <c r="D5758" s="9">
        <f t="shared" si="89"/>
        <v>32.16</v>
      </c>
      <c r="E5758" s="11"/>
      <c r="F5758" s="9"/>
    </row>
    <row r="5759" s="1" customFormat="1" customHeight="1" spans="1:6">
      <c r="A5759" s="9" t="str">
        <f>"10070519227"</f>
        <v>10070519227</v>
      </c>
      <c r="B5759" s="10">
        <v>48.89</v>
      </c>
      <c r="C5759" s="9"/>
      <c r="D5759" s="9">
        <f t="shared" si="89"/>
        <v>48.89</v>
      </c>
      <c r="E5759" s="11"/>
      <c r="F5759" s="9"/>
    </row>
    <row r="5760" s="1" customFormat="1" customHeight="1" spans="1:6">
      <c r="A5760" s="9" t="str">
        <f>"10280519228"</f>
        <v>10280519228</v>
      </c>
      <c r="B5760" s="10">
        <v>33.53</v>
      </c>
      <c r="C5760" s="9"/>
      <c r="D5760" s="9">
        <f t="shared" si="89"/>
        <v>33.53</v>
      </c>
      <c r="E5760" s="11"/>
      <c r="F5760" s="9"/>
    </row>
    <row r="5761" s="1" customFormat="1" customHeight="1" spans="1:6">
      <c r="A5761" s="9" t="str">
        <f>"10130519229"</f>
        <v>10130519229</v>
      </c>
      <c r="B5761" s="10">
        <v>41.08</v>
      </c>
      <c r="C5761" s="9"/>
      <c r="D5761" s="9">
        <f t="shared" si="89"/>
        <v>41.08</v>
      </c>
      <c r="E5761" s="11"/>
      <c r="F5761" s="9"/>
    </row>
    <row r="5762" s="1" customFormat="1" customHeight="1" spans="1:6">
      <c r="A5762" s="9" t="str">
        <f>"10360519230"</f>
        <v>10360519230</v>
      </c>
      <c r="B5762" s="10">
        <v>38.24</v>
      </c>
      <c r="C5762" s="9"/>
      <c r="D5762" s="9">
        <f t="shared" si="89"/>
        <v>38.24</v>
      </c>
      <c r="E5762" s="11"/>
      <c r="F5762" s="9"/>
    </row>
    <row r="5763" s="1" customFormat="1" customHeight="1" spans="1:6">
      <c r="A5763" s="9" t="str">
        <f>"10520519301"</f>
        <v>10520519301</v>
      </c>
      <c r="B5763" s="10">
        <v>0</v>
      </c>
      <c r="C5763" s="9"/>
      <c r="D5763" s="9">
        <f t="shared" ref="D5763:D5826" si="90">SUM(B5763:C5763)</f>
        <v>0</v>
      </c>
      <c r="E5763" s="11"/>
      <c r="F5763" s="9" t="s">
        <v>7</v>
      </c>
    </row>
    <row r="5764" s="1" customFormat="1" customHeight="1" spans="1:6">
      <c r="A5764" s="9" t="str">
        <f>"10330519302"</f>
        <v>10330519302</v>
      </c>
      <c r="B5764" s="10">
        <v>34.53</v>
      </c>
      <c r="C5764" s="9"/>
      <c r="D5764" s="9">
        <f t="shared" si="90"/>
        <v>34.53</v>
      </c>
      <c r="E5764" s="11"/>
      <c r="F5764" s="9"/>
    </row>
    <row r="5765" s="1" customFormat="1" customHeight="1" spans="1:6">
      <c r="A5765" s="9" t="str">
        <f>"10530519303"</f>
        <v>10530519303</v>
      </c>
      <c r="B5765" s="10">
        <v>44.57</v>
      </c>
      <c r="C5765" s="9"/>
      <c r="D5765" s="9">
        <f t="shared" si="90"/>
        <v>44.57</v>
      </c>
      <c r="E5765" s="11"/>
      <c r="F5765" s="9"/>
    </row>
    <row r="5766" s="1" customFormat="1" customHeight="1" spans="1:6">
      <c r="A5766" s="9" t="str">
        <f>"10240519304"</f>
        <v>10240519304</v>
      </c>
      <c r="B5766" s="10">
        <v>0</v>
      </c>
      <c r="C5766" s="9"/>
      <c r="D5766" s="9">
        <f t="shared" si="90"/>
        <v>0</v>
      </c>
      <c r="E5766" s="11"/>
      <c r="F5766" s="9" t="s">
        <v>7</v>
      </c>
    </row>
    <row r="5767" s="1" customFormat="1" customHeight="1" spans="1:6">
      <c r="A5767" s="9" t="str">
        <f>"10330519305"</f>
        <v>10330519305</v>
      </c>
      <c r="B5767" s="10">
        <v>42.31</v>
      </c>
      <c r="C5767" s="9"/>
      <c r="D5767" s="9">
        <f t="shared" si="90"/>
        <v>42.31</v>
      </c>
      <c r="E5767" s="11"/>
      <c r="F5767" s="9"/>
    </row>
    <row r="5768" s="1" customFormat="1" customHeight="1" spans="1:6">
      <c r="A5768" s="9" t="str">
        <f>"10530519306"</f>
        <v>10530519306</v>
      </c>
      <c r="B5768" s="10">
        <v>41.32</v>
      </c>
      <c r="C5768" s="9"/>
      <c r="D5768" s="9">
        <f t="shared" si="90"/>
        <v>41.32</v>
      </c>
      <c r="E5768" s="11"/>
      <c r="F5768" s="9"/>
    </row>
    <row r="5769" s="1" customFormat="1" customHeight="1" spans="1:6">
      <c r="A5769" s="9" t="str">
        <f>"10360519307"</f>
        <v>10360519307</v>
      </c>
      <c r="B5769" s="10">
        <v>40.34</v>
      </c>
      <c r="C5769" s="9"/>
      <c r="D5769" s="9">
        <f t="shared" si="90"/>
        <v>40.34</v>
      </c>
      <c r="E5769" s="11"/>
      <c r="F5769" s="9"/>
    </row>
    <row r="5770" s="1" customFormat="1" customHeight="1" spans="1:6">
      <c r="A5770" s="9" t="str">
        <f>"10240519308"</f>
        <v>10240519308</v>
      </c>
      <c r="B5770" s="10">
        <v>0</v>
      </c>
      <c r="C5770" s="9"/>
      <c r="D5770" s="9">
        <f t="shared" si="90"/>
        <v>0</v>
      </c>
      <c r="E5770" s="11"/>
      <c r="F5770" s="9" t="s">
        <v>7</v>
      </c>
    </row>
    <row r="5771" s="1" customFormat="1" customHeight="1" spans="1:6">
      <c r="A5771" s="9" t="str">
        <f>"10300519309"</f>
        <v>10300519309</v>
      </c>
      <c r="B5771" s="10">
        <v>36.36</v>
      </c>
      <c r="C5771" s="9"/>
      <c r="D5771" s="9">
        <f t="shared" si="90"/>
        <v>36.36</v>
      </c>
      <c r="E5771" s="11"/>
      <c r="F5771" s="9"/>
    </row>
    <row r="5772" s="1" customFormat="1" customHeight="1" spans="1:6">
      <c r="A5772" s="9" t="str">
        <f>"10450519310"</f>
        <v>10450519310</v>
      </c>
      <c r="B5772" s="10">
        <v>39.72</v>
      </c>
      <c r="C5772" s="9"/>
      <c r="D5772" s="9">
        <f t="shared" si="90"/>
        <v>39.72</v>
      </c>
      <c r="E5772" s="11"/>
      <c r="F5772" s="9"/>
    </row>
    <row r="5773" s="1" customFormat="1" customHeight="1" spans="1:6">
      <c r="A5773" s="9" t="str">
        <f>"10350519311"</f>
        <v>10350519311</v>
      </c>
      <c r="B5773" s="10">
        <v>41.21</v>
      </c>
      <c r="C5773" s="9"/>
      <c r="D5773" s="9">
        <f t="shared" si="90"/>
        <v>41.21</v>
      </c>
      <c r="E5773" s="11"/>
      <c r="F5773" s="9"/>
    </row>
    <row r="5774" s="1" customFormat="1" customHeight="1" spans="1:6">
      <c r="A5774" s="9" t="str">
        <f>"10330519312"</f>
        <v>10330519312</v>
      </c>
      <c r="B5774" s="10">
        <v>0</v>
      </c>
      <c r="C5774" s="9"/>
      <c r="D5774" s="9">
        <f t="shared" si="90"/>
        <v>0</v>
      </c>
      <c r="E5774" s="11"/>
      <c r="F5774" s="9" t="s">
        <v>7</v>
      </c>
    </row>
    <row r="5775" s="1" customFormat="1" customHeight="1" spans="1:6">
      <c r="A5775" s="9" t="str">
        <f>"20270519313"</f>
        <v>20270519313</v>
      </c>
      <c r="B5775" s="10">
        <v>40.17</v>
      </c>
      <c r="C5775" s="9"/>
      <c r="D5775" s="9">
        <f t="shared" si="90"/>
        <v>40.17</v>
      </c>
      <c r="E5775" s="11"/>
      <c r="F5775" s="9"/>
    </row>
    <row r="5776" s="1" customFormat="1" customHeight="1" spans="1:6">
      <c r="A5776" s="9" t="str">
        <f>"10440519314"</f>
        <v>10440519314</v>
      </c>
      <c r="B5776" s="10">
        <v>39.51</v>
      </c>
      <c r="C5776" s="9"/>
      <c r="D5776" s="9">
        <f t="shared" si="90"/>
        <v>39.51</v>
      </c>
      <c r="E5776" s="11"/>
      <c r="F5776" s="9"/>
    </row>
    <row r="5777" s="1" customFormat="1" customHeight="1" spans="1:6">
      <c r="A5777" s="9" t="str">
        <f>"10060519315"</f>
        <v>10060519315</v>
      </c>
      <c r="B5777" s="10">
        <v>37.39</v>
      </c>
      <c r="C5777" s="9"/>
      <c r="D5777" s="9">
        <f t="shared" si="90"/>
        <v>37.39</v>
      </c>
      <c r="E5777" s="11"/>
      <c r="F5777" s="9"/>
    </row>
    <row r="5778" s="1" customFormat="1" customHeight="1" spans="1:6">
      <c r="A5778" s="9" t="str">
        <f>"10210519316"</f>
        <v>10210519316</v>
      </c>
      <c r="B5778" s="10">
        <v>42.15</v>
      </c>
      <c r="C5778" s="9"/>
      <c r="D5778" s="9">
        <f t="shared" si="90"/>
        <v>42.15</v>
      </c>
      <c r="E5778" s="11"/>
      <c r="F5778" s="9"/>
    </row>
    <row r="5779" s="1" customFormat="1" customHeight="1" spans="1:6">
      <c r="A5779" s="9" t="str">
        <f>"10420519317"</f>
        <v>10420519317</v>
      </c>
      <c r="B5779" s="10">
        <v>43.09</v>
      </c>
      <c r="C5779" s="9"/>
      <c r="D5779" s="9">
        <f t="shared" si="90"/>
        <v>43.09</v>
      </c>
      <c r="E5779" s="11"/>
      <c r="F5779" s="9"/>
    </row>
    <row r="5780" s="1" customFormat="1" customHeight="1" spans="1:6">
      <c r="A5780" s="9" t="str">
        <f>"10360519318"</f>
        <v>10360519318</v>
      </c>
      <c r="B5780" s="10">
        <v>0</v>
      </c>
      <c r="C5780" s="9"/>
      <c r="D5780" s="9">
        <f t="shared" si="90"/>
        <v>0</v>
      </c>
      <c r="E5780" s="11"/>
      <c r="F5780" s="9" t="s">
        <v>7</v>
      </c>
    </row>
    <row r="5781" s="1" customFormat="1" customHeight="1" spans="1:6">
      <c r="A5781" s="9" t="str">
        <f>"10100519319"</f>
        <v>10100519319</v>
      </c>
      <c r="B5781" s="10">
        <v>0</v>
      </c>
      <c r="C5781" s="9"/>
      <c r="D5781" s="9">
        <f t="shared" si="90"/>
        <v>0</v>
      </c>
      <c r="E5781" s="11"/>
      <c r="F5781" s="9" t="s">
        <v>7</v>
      </c>
    </row>
    <row r="5782" s="1" customFormat="1" customHeight="1" spans="1:6">
      <c r="A5782" s="9" t="str">
        <f>"10270519320"</f>
        <v>10270519320</v>
      </c>
      <c r="B5782" s="10">
        <v>41.24</v>
      </c>
      <c r="C5782" s="9"/>
      <c r="D5782" s="9">
        <f t="shared" si="90"/>
        <v>41.24</v>
      </c>
      <c r="E5782" s="11"/>
      <c r="F5782" s="9"/>
    </row>
    <row r="5783" s="1" customFormat="1" customHeight="1" spans="1:6">
      <c r="A5783" s="9" t="str">
        <f>"10360519321"</f>
        <v>10360519321</v>
      </c>
      <c r="B5783" s="10">
        <v>0</v>
      </c>
      <c r="C5783" s="9"/>
      <c r="D5783" s="9">
        <f t="shared" si="90"/>
        <v>0</v>
      </c>
      <c r="E5783" s="11"/>
      <c r="F5783" s="9" t="s">
        <v>7</v>
      </c>
    </row>
    <row r="5784" s="1" customFormat="1" customHeight="1" spans="1:6">
      <c r="A5784" s="9" t="str">
        <f>"10510519322"</f>
        <v>10510519322</v>
      </c>
      <c r="B5784" s="10">
        <v>44.91</v>
      </c>
      <c r="C5784" s="9"/>
      <c r="D5784" s="9">
        <f t="shared" si="90"/>
        <v>44.91</v>
      </c>
      <c r="E5784" s="11"/>
      <c r="F5784" s="9"/>
    </row>
    <row r="5785" s="1" customFormat="1" customHeight="1" spans="1:6">
      <c r="A5785" s="9" t="str">
        <f>"10240519323"</f>
        <v>10240519323</v>
      </c>
      <c r="B5785" s="10">
        <v>54.82</v>
      </c>
      <c r="C5785" s="9"/>
      <c r="D5785" s="9">
        <f t="shared" si="90"/>
        <v>54.82</v>
      </c>
      <c r="E5785" s="11"/>
      <c r="F5785" s="9"/>
    </row>
    <row r="5786" s="1" customFormat="1" customHeight="1" spans="1:6">
      <c r="A5786" s="9" t="str">
        <f>"10360519324"</f>
        <v>10360519324</v>
      </c>
      <c r="B5786" s="10">
        <v>0</v>
      </c>
      <c r="C5786" s="9"/>
      <c r="D5786" s="9">
        <f t="shared" si="90"/>
        <v>0</v>
      </c>
      <c r="E5786" s="11"/>
      <c r="F5786" s="9" t="s">
        <v>7</v>
      </c>
    </row>
    <row r="5787" s="1" customFormat="1" customHeight="1" spans="1:6">
      <c r="A5787" s="9" t="str">
        <f>"10360519325"</f>
        <v>10360519325</v>
      </c>
      <c r="B5787" s="10">
        <v>0</v>
      </c>
      <c r="C5787" s="9"/>
      <c r="D5787" s="9">
        <f t="shared" si="90"/>
        <v>0</v>
      </c>
      <c r="E5787" s="11"/>
      <c r="F5787" s="9" t="s">
        <v>7</v>
      </c>
    </row>
    <row r="5788" s="1" customFormat="1" customHeight="1" spans="1:6">
      <c r="A5788" s="9" t="str">
        <f>"10410519326"</f>
        <v>10410519326</v>
      </c>
      <c r="B5788" s="10">
        <v>0</v>
      </c>
      <c r="C5788" s="9"/>
      <c r="D5788" s="9">
        <f t="shared" si="90"/>
        <v>0</v>
      </c>
      <c r="E5788" s="11"/>
      <c r="F5788" s="9" t="s">
        <v>7</v>
      </c>
    </row>
    <row r="5789" s="1" customFormat="1" customHeight="1" spans="1:6">
      <c r="A5789" s="9" t="str">
        <f>"10330519327"</f>
        <v>10330519327</v>
      </c>
      <c r="B5789" s="10">
        <v>0</v>
      </c>
      <c r="C5789" s="9"/>
      <c r="D5789" s="9">
        <f t="shared" si="90"/>
        <v>0</v>
      </c>
      <c r="E5789" s="11"/>
      <c r="F5789" s="9" t="s">
        <v>7</v>
      </c>
    </row>
    <row r="5790" s="1" customFormat="1" customHeight="1" spans="1:6">
      <c r="A5790" s="9" t="str">
        <f>"10510519328"</f>
        <v>10510519328</v>
      </c>
      <c r="B5790" s="10">
        <v>0</v>
      </c>
      <c r="C5790" s="9"/>
      <c r="D5790" s="9">
        <f t="shared" si="90"/>
        <v>0</v>
      </c>
      <c r="E5790" s="11"/>
      <c r="F5790" s="9" t="s">
        <v>7</v>
      </c>
    </row>
    <row r="5791" s="1" customFormat="1" customHeight="1" spans="1:6">
      <c r="A5791" s="9" t="str">
        <f>"10530519329"</f>
        <v>10530519329</v>
      </c>
      <c r="B5791" s="10">
        <v>45.33</v>
      </c>
      <c r="C5791" s="9"/>
      <c r="D5791" s="9">
        <f t="shared" si="90"/>
        <v>45.33</v>
      </c>
      <c r="E5791" s="11"/>
      <c r="F5791" s="9"/>
    </row>
    <row r="5792" s="1" customFormat="1" customHeight="1" spans="1:6">
      <c r="A5792" s="9" t="str">
        <f>"10530519330"</f>
        <v>10530519330</v>
      </c>
      <c r="B5792" s="10">
        <v>0</v>
      </c>
      <c r="C5792" s="9"/>
      <c r="D5792" s="9">
        <f t="shared" si="90"/>
        <v>0</v>
      </c>
      <c r="E5792" s="11"/>
      <c r="F5792" s="9" t="s">
        <v>7</v>
      </c>
    </row>
    <row r="5793" s="1" customFormat="1" customHeight="1" spans="1:6">
      <c r="A5793" s="9" t="str">
        <f>"10360519401"</f>
        <v>10360519401</v>
      </c>
      <c r="B5793" s="10">
        <v>39.04</v>
      </c>
      <c r="C5793" s="9"/>
      <c r="D5793" s="9">
        <f t="shared" si="90"/>
        <v>39.04</v>
      </c>
      <c r="E5793" s="11"/>
      <c r="F5793" s="9"/>
    </row>
    <row r="5794" s="1" customFormat="1" customHeight="1" spans="1:6">
      <c r="A5794" s="9" t="str">
        <f>"10360519402"</f>
        <v>10360519402</v>
      </c>
      <c r="B5794" s="10">
        <v>47.8</v>
      </c>
      <c r="C5794" s="9"/>
      <c r="D5794" s="9">
        <f t="shared" si="90"/>
        <v>47.8</v>
      </c>
      <c r="E5794" s="11"/>
      <c r="F5794" s="9"/>
    </row>
    <row r="5795" s="1" customFormat="1" customHeight="1" spans="1:6">
      <c r="A5795" s="9" t="str">
        <f>"10300519403"</f>
        <v>10300519403</v>
      </c>
      <c r="B5795" s="10">
        <v>41.21</v>
      </c>
      <c r="C5795" s="9"/>
      <c r="D5795" s="9">
        <f t="shared" si="90"/>
        <v>41.21</v>
      </c>
      <c r="E5795" s="11"/>
      <c r="F5795" s="9"/>
    </row>
    <row r="5796" s="1" customFormat="1" customHeight="1" spans="1:6">
      <c r="A5796" s="9" t="str">
        <f>"10360519404"</f>
        <v>10360519404</v>
      </c>
      <c r="B5796" s="10">
        <v>38.05</v>
      </c>
      <c r="C5796" s="9"/>
      <c r="D5796" s="9">
        <f t="shared" si="90"/>
        <v>38.05</v>
      </c>
      <c r="E5796" s="11"/>
      <c r="F5796" s="9"/>
    </row>
    <row r="5797" s="1" customFormat="1" customHeight="1" spans="1:6">
      <c r="A5797" s="9" t="str">
        <f>"10360519405"</f>
        <v>10360519405</v>
      </c>
      <c r="B5797" s="10">
        <v>40.59</v>
      </c>
      <c r="C5797" s="9"/>
      <c r="D5797" s="9">
        <f t="shared" si="90"/>
        <v>40.59</v>
      </c>
      <c r="E5797" s="11"/>
      <c r="F5797" s="9"/>
    </row>
    <row r="5798" s="1" customFormat="1" customHeight="1" spans="1:6">
      <c r="A5798" s="9" t="str">
        <f>"10170519406"</f>
        <v>10170519406</v>
      </c>
      <c r="B5798" s="10">
        <v>41.81</v>
      </c>
      <c r="C5798" s="9"/>
      <c r="D5798" s="9">
        <f t="shared" si="90"/>
        <v>41.81</v>
      </c>
      <c r="E5798" s="11"/>
      <c r="F5798" s="9"/>
    </row>
    <row r="5799" s="1" customFormat="1" customHeight="1" spans="1:6">
      <c r="A5799" s="9" t="str">
        <f>"10360519407"</f>
        <v>10360519407</v>
      </c>
      <c r="B5799" s="10">
        <v>0</v>
      </c>
      <c r="C5799" s="9"/>
      <c r="D5799" s="9">
        <f t="shared" si="90"/>
        <v>0</v>
      </c>
      <c r="E5799" s="11"/>
      <c r="F5799" s="9" t="s">
        <v>7</v>
      </c>
    </row>
    <row r="5800" s="1" customFormat="1" customHeight="1" spans="1:6">
      <c r="A5800" s="9" t="str">
        <f>"10230519408"</f>
        <v>10230519408</v>
      </c>
      <c r="B5800" s="10">
        <v>0</v>
      </c>
      <c r="C5800" s="9"/>
      <c r="D5800" s="9">
        <f t="shared" si="90"/>
        <v>0</v>
      </c>
      <c r="E5800" s="11"/>
      <c r="F5800" s="9" t="s">
        <v>7</v>
      </c>
    </row>
    <row r="5801" s="1" customFormat="1" customHeight="1" spans="1:6">
      <c r="A5801" s="9" t="str">
        <f>"10530519409"</f>
        <v>10530519409</v>
      </c>
      <c r="B5801" s="10">
        <v>51.94</v>
      </c>
      <c r="C5801" s="9"/>
      <c r="D5801" s="9">
        <f t="shared" si="90"/>
        <v>51.94</v>
      </c>
      <c r="E5801" s="11"/>
      <c r="F5801" s="9"/>
    </row>
    <row r="5802" s="1" customFormat="1" customHeight="1" spans="1:6">
      <c r="A5802" s="9" t="str">
        <f>"10360519410"</f>
        <v>10360519410</v>
      </c>
      <c r="B5802" s="10">
        <v>0</v>
      </c>
      <c r="C5802" s="9"/>
      <c r="D5802" s="9">
        <f t="shared" si="90"/>
        <v>0</v>
      </c>
      <c r="E5802" s="11"/>
      <c r="F5802" s="9" t="s">
        <v>7</v>
      </c>
    </row>
    <row r="5803" s="1" customFormat="1" customHeight="1" spans="1:6">
      <c r="A5803" s="9" t="str">
        <f>"10090519411"</f>
        <v>10090519411</v>
      </c>
      <c r="B5803" s="10">
        <v>41.69</v>
      </c>
      <c r="C5803" s="9"/>
      <c r="D5803" s="9">
        <f t="shared" si="90"/>
        <v>41.69</v>
      </c>
      <c r="E5803" s="11"/>
      <c r="F5803" s="9"/>
    </row>
    <row r="5804" s="1" customFormat="1" customHeight="1" spans="1:6">
      <c r="A5804" s="9" t="str">
        <f>"10350519412"</f>
        <v>10350519412</v>
      </c>
      <c r="B5804" s="10">
        <v>48.19</v>
      </c>
      <c r="C5804" s="9"/>
      <c r="D5804" s="9">
        <f t="shared" si="90"/>
        <v>48.19</v>
      </c>
      <c r="E5804" s="11"/>
      <c r="F5804" s="9"/>
    </row>
    <row r="5805" s="1" customFormat="1" customHeight="1" spans="1:6">
      <c r="A5805" s="9" t="str">
        <f>"10340519413"</f>
        <v>10340519413</v>
      </c>
      <c r="B5805" s="10">
        <v>45.66</v>
      </c>
      <c r="C5805" s="9"/>
      <c r="D5805" s="9">
        <f t="shared" si="90"/>
        <v>45.66</v>
      </c>
      <c r="E5805" s="11"/>
      <c r="F5805" s="9"/>
    </row>
    <row r="5806" s="1" customFormat="1" customHeight="1" spans="1:6">
      <c r="A5806" s="9" t="str">
        <f>"10360519414"</f>
        <v>10360519414</v>
      </c>
      <c r="B5806" s="10">
        <v>0</v>
      </c>
      <c r="C5806" s="9"/>
      <c r="D5806" s="9">
        <f t="shared" si="90"/>
        <v>0</v>
      </c>
      <c r="E5806" s="11"/>
      <c r="F5806" s="9" t="s">
        <v>7</v>
      </c>
    </row>
    <row r="5807" s="1" customFormat="1" customHeight="1" spans="1:6">
      <c r="A5807" s="9" t="str">
        <f>"10400519415"</f>
        <v>10400519415</v>
      </c>
      <c r="B5807" s="10">
        <v>0</v>
      </c>
      <c r="C5807" s="9"/>
      <c r="D5807" s="9">
        <f t="shared" si="90"/>
        <v>0</v>
      </c>
      <c r="E5807" s="11"/>
      <c r="F5807" s="9" t="s">
        <v>7</v>
      </c>
    </row>
    <row r="5808" s="1" customFormat="1" customHeight="1" spans="1:6">
      <c r="A5808" s="9" t="str">
        <f>"10170519416"</f>
        <v>10170519416</v>
      </c>
      <c r="B5808" s="10">
        <v>42.78</v>
      </c>
      <c r="C5808" s="9"/>
      <c r="D5808" s="9">
        <f t="shared" si="90"/>
        <v>42.78</v>
      </c>
      <c r="E5808" s="11"/>
      <c r="F5808" s="9"/>
    </row>
    <row r="5809" s="1" customFormat="1" customHeight="1" spans="1:6">
      <c r="A5809" s="9" t="str">
        <f>"10330519417"</f>
        <v>10330519417</v>
      </c>
      <c r="B5809" s="10">
        <v>0</v>
      </c>
      <c r="C5809" s="9"/>
      <c r="D5809" s="9">
        <f t="shared" si="90"/>
        <v>0</v>
      </c>
      <c r="E5809" s="11"/>
      <c r="F5809" s="9" t="s">
        <v>7</v>
      </c>
    </row>
    <row r="5810" s="1" customFormat="1" customHeight="1" spans="1:6">
      <c r="A5810" s="9" t="str">
        <f>"10010519418"</f>
        <v>10010519418</v>
      </c>
      <c r="B5810" s="10">
        <v>41.71</v>
      </c>
      <c r="C5810" s="9"/>
      <c r="D5810" s="9">
        <f t="shared" si="90"/>
        <v>41.71</v>
      </c>
      <c r="E5810" s="11"/>
      <c r="F5810" s="9"/>
    </row>
    <row r="5811" s="1" customFormat="1" customHeight="1" spans="1:6">
      <c r="A5811" s="9" t="str">
        <f>"10520519419"</f>
        <v>10520519419</v>
      </c>
      <c r="B5811" s="10">
        <v>0</v>
      </c>
      <c r="C5811" s="9"/>
      <c r="D5811" s="9">
        <f t="shared" si="90"/>
        <v>0</v>
      </c>
      <c r="E5811" s="11"/>
      <c r="F5811" s="9" t="s">
        <v>7</v>
      </c>
    </row>
    <row r="5812" s="1" customFormat="1" customHeight="1" spans="1:6">
      <c r="A5812" s="9" t="str">
        <f>"10300519420"</f>
        <v>10300519420</v>
      </c>
      <c r="B5812" s="10">
        <v>34.93</v>
      </c>
      <c r="C5812" s="9"/>
      <c r="D5812" s="9">
        <f t="shared" si="90"/>
        <v>34.93</v>
      </c>
      <c r="E5812" s="11"/>
      <c r="F5812" s="9"/>
    </row>
    <row r="5813" s="1" customFormat="1" customHeight="1" spans="1:6">
      <c r="A5813" s="9" t="str">
        <f>"10080519421"</f>
        <v>10080519421</v>
      </c>
      <c r="B5813" s="10">
        <v>0</v>
      </c>
      <c r="C5813" s="9"/>
      <c r="D5813" s="9">
        <f t="shared" si="90"/>
        <v>0</v>
      </c>
      <c r="E5813" s="11"/>
      <c r="F5813" s="9" t="s">
        <v>7</v>
      </c>
    </row>
    <row r="5814" s="1" customFormat="1" customHeight="1" spans="1:6">
      <c r="A5814" s="9" t="str">
        <f>"10320519422"</f>
        <v>10320519422</v>
      </c>
      <c r="B5814" s="10">
        <v>0</v>
      </c>
      <c r="C5814" s="9"/>
      <c r="D5814" s="9">
        <f t="shared" si="90"/>
        <v>0</v>
      </c>
      <c r="E5814" s="11"/>
      <c r="F5814" s="9" t="s">
        <v>7</v>
      </c>
    </row>
    <row r="5815" s="1" customFormat="1" customHeight="1" spans="1:6">
      <c r="A5815" s="9" t="str">
        <f>"10360519423"</f>
        <v>10360519423</v>
      </c>
      <c r="B5815" s="10">
        <v>32.32</v>
      </c>
      <c r="C5815" s="9"/>
      <c r="D5815" s="9">
        <f t="shared" si="90"/>
        <v>32.32</v>
      </c>
      <c r="E5815" s="11"/>
      <c r="F5815" s="9"/>
    </row>
    <row r="5816" s="1" customFormat="1" customHeight="1" spans="1:6">
      <c r="A5816" s="9" t="str">
        <f>"10160519424"</f>
        <v>10160519424</v>
      </c>
      <c r="B5816" s="10">
        <v>0</v>
      </c>
      <c r="C5816" s="9"/>
      <c r="D5816" s="9">
        <f t="shared" si="90"/>
        <v>0</v>
      </c>
      <c r="E5816" s="11"/>
      <c r="F5816" s="9" t="s">
        <v>7</v>
      </c>
    </row>
    <row r="5817" s="1" customFormat="1" customHeight="1" spans="1:6">
      <c r="A5817" s="9" t="str">
        <f>"10200519425"</f>
        <v>10200519425</v>
      </c>
      <c r="B5817" s="10">
        <v>45.57</v>
      </c>
      <c r="C5817" s="9"/>
      <c r="D5817" s="9">
        <f t="shared" si="90"/>
        <v>45.57</v>
      </c>
      <c r="E5817" s="11"/>
      <c r="F5817" s="9"/>
    </row>
    <row r="5818" s="1" customFormat="1" customHeight="1" spans="1:6">
      <c r="A5818" s="9" t="str">
        <f>"10410519426"</f>
        <v>10410519426</v>
      </c>
      <c r="B5818" s="10">
        <v>59.35</v>
      </c>
      <c r="C5818" s="9"/>
      <c r="D5818" s="9">
        <f t="shared" si="90"/>
        <v>59.35</v>
      </c>
      <c r="E5818" s="11"/>
      <c r="F5818" s="9"/>
    </row>
    <row r="5819" s="1" customFormat="1" customHeight="1" spans="1:6">
      <c r="A5819" s="9" t="str">
        <f>"10420519427"</f>
        <v>10420519427</v>
      </c>
      <c r="B5819" s="10">
        <v>49.8</v>
      </c>
      <c r="C5819" s="9"/>
      <c r="D5819" s="9">
        <f t="shared" si="90"/>
        <v>49.8</v>
      </c>
      <c r="E5819" s="11"/>
      <c r="F5819" s="9"/>
    </row>
    <row r="5820" s="1" customFormat="1" customHeight="1" spans="1:6">
      <c r="A5820" s="9" t="str">
        <f>"10020519428"</f>
        <v>10020519428</v>
      </c>
      <c r="B5820" s="10">
        <v>36.99</v>
      </c>
      <c r="C5820" s="9"/>
      <c r="D5820" s="9">
        <f t="shared" si="90"/>
        <v>36.99</v>
      </c>
      <c r="E5820" s="11"/>
      <c r="F5820" s="9"/>
    </row>
    <row r="5821" s="1" customFormat="1" customHeight="1" spans="1:6">
      <c r="A5821" s="9" t="str">
        <f>"10390519429"</f>
        <v>10390519429</v>
      </c>
      <c r="B5821" s="10">
        <v>0</v>
      </c>
      <c r="C5821" s="9"/>
      <c r="D5821" s="9">
        <f t="shared" si="90"/>
        <v>0</v>
      </c>
      <c r="E5821" s="11"/>
      <c r="F5821" s="9" t="s">
        <v>7</v>
      </c>
    </row>
    <row r="5822" s="1" customFormat="1" customHeight="1" spans="1:6">
      <c r="A5822" s="9" t="str">
        <f>"10290519430"</f>
        <v>10290519430</v>
      </c>
      <c r="B5822" s="10">
        <v>40.3</v>
      </c>
      <c r="C5822" s="9"/>
      <c r="D5822" s="9">
        <f t="shared" si="90"/>
        <v>40.3</v>
      </c>
      <c r="E5822" s="11"/>
      <c r="F5822" s="9"/>
    </row>
    <row r="5823" s="1" customFormat="1" customHeight="1" spans="1:6">
      <c r="A5823" s="9" t="str">
        <f>"10300519501"</f>
        <v>10300519501</v>
      </c>
      <c r="B5823" s="10">
        <v>0</v>
      </c>
      <c r="C5823" s="9"/>
      <c r="D5823" s="9">
        <f t="shared" si="90"/>
        <v>0</v>
      </c>
      <c r="E5823" s="11"/>
      <c r="F5823" s="9" t="s">
        <v>7</v>
      </c>
    </row>
    <row r="5824" s="1" customFormat="1" customHeight="1" spans="1:6">
      <c r="A5824" s="9" t="str">
        <f>"10360519502"</f>
        <v>10360519502</v>
      </c>
      <c r="B5824" s="10">
        <v>0</v>
      </c>
      <c r="C5824" s="9"/>
      <c r="D5824" s="9">
        <f t="shared" si="90"/>
        <v>0</v>
      </c>
      <c r="E5824" s="11"/>
      <c r="F5824" s="9" t="s">
        <v>7</v>
      </c>
    </row>
    <row r="5825" s="1" customFormat="1" customHeight="1" spans="1:6">
      <c r="A5825" s="9" t="str">
        <f>"10090519503"</f>
        <v>10090519503</v>
      </c>
      <c r="B5825" s="10">
        <v>0</v>
      </c>
      <c r="C5825" s="9"/>
      <c r="D5825" s="9">
        <f t="shared" si="90"/>
        <v>0</v>
      </c>
      <c r="E5825" s="11"/>
      <c r="F5825" s="9" t="s">
        <v>7</v>
      </c>
    </row>
    <row r="5826" s="1" customFormat="1" customHeight="1" spans="1:6">
      <c r="A5826" s="9" t="str">
        <f>"10360519504"</f>
        <v>10360519504</v>
      </c>
      <c r="B5826" s="10">
        <v>36.99</v>
      </c>
      <c r="C5826" s="9"/>
      <c r="D5826" s="9">
        <f t="shared" si="90"/>
        <v>36.99</v>
      </c>
      <c r="E5826" s="11"/>
      <c r="F5826" s="9"/>
    </row>
    <row r="5827" s="1" customFormat="1" customHeight="1" spans="1:6">
      <c r="A5827" s="9" t="str">
        <f>"10450519505"</f>
        <v>10450519505</v>
      </c>
      <c r="B5827" s="10">
        <v>35.13</v>
      </c>
      <c r="C5827" s="9"/>
      <c r="D5827" s="9">
        <f t="shared" ref="D5827:D5890" si="91">SUM(B5827:C5827)</f>
        <v>35.13</v>
      </c>
      <c r="E5827" s="11"/>
      <c r="F5827" s="9"/>
    </row>
    <row r="5828" s="1" customFormat="1" customHeight="1" spans="1:6">
      <c r="A5828" s="9" t="str">
        <f>"10360519506"</f>
        <v>10360519506</v>
      </c>
      <c r="B5828" s="10">
        <v>50.27</v>
      </c>
      <c r="C5828" s="9"/>
      <c r="D5828" s="9">
        <f t="shared" si="91"/>
        <v>50.27</v>
      </c>
      <c r="E5828" s="11"/>
      <c r="F5828" s="9"/>
    </row>
    <row r="5829" s="1" customFormat="1" customHeight="1" spans="1:6">
      <c r="A5829" s="9" t="str">
        <f>"10360519507"</f>
        <v>10360519507</v>
      </c>
      <c r="B5829" s="10">
        <v>43.01</v>
      </c>
      <c r="C5829" s="9"/>
      <c r="D5829" s="9">
        <f t="shared" si="91"/>
        <v>43.01</v>
      </c>
      <c r="E5829" s="11"/>
      <c r="F5829" s="9"/>
    </row>
    <row r="5830" s="1" customFormat="1" customHeight="1" spans="1:6">
      <c r="A5830" s="9" t="str">
        <f>"10290519508"</f>
        <v>10290519508</v>
      </c>
      <c r="B5830" s="10">
        <v>37.03</v>
      </c>
      <c r="C5830" s="9"/>
      <c r="D5830" s="9">
        <f t="shared" si="91"/>
        <v>37.03</v>
      </c>
      <c r="E5830" s="11"/>
      <c r="F5830" s="9"/>
    </row>
    <row r="5831" s="1" customFormat="1" customHeight="1" spans="1:6">
      <c r="A5831" s="9" t="str">
        <f>"10460519509"</f>
        <v>10460519509</v>
      </c>
      <c r="B5831" s="10">
        <v>35.17</v>
      </c>
      <c r="C5831" s="9"/>
      <c r="D5831" s="9">
        <f t="shared" si="91"/>
        <v>35.17</v>
      </c>
      <c r="E5831" s="11"/>
      <c r="F5831" s="9"/>
    </row>
    <row r="5832" s="1" customFormat="1" customHeight="1" spans="1:6">
      <c r="A5832" s="9" t="str">
        <f>"10080519510"</f>
        <v>10080519510</v>
      </c>
      <c r="B5832" s="10">
        <v>0</v>
      </c>
      <c r="C5832" s="9"/>
      <c r="D5832" s="9">
        <f t="shared" si="91"/>
        <v>0</v>
      </c>
      <c r="E5832" s="11"/>
      <c r="F5832" s="9" t="s">
        <v>7</v>
      </c>
    </row>
    <row r="5833" s="1" customFormat="1" customHeight="1" spans="1:6">
      <c r="A5833" s="9" t="str">
        <f>"10460519511"</f>
        <v>10460519511</v>
      </c>
      <c r="B5833" s="10">
        <v>0</v>
      </c>
      <c r="C5833" s="9"/>
      <c r="D5833" s="9">
        <f t="shared" si="91"/>
        <v>0</v>
      </c>
      <c r="E5833" s="11"/>
      <c r="F5833" s="9" t="s">
        <v>7</v>
      </c>
    </row>
    <row r="5834" s="1" customFormat="1" customHeight="1" spans="1:6">
      <c r="A5834" s="9" t="str">
        <f>"10290519512"</f>
        <v>10290519512</v>
      </c>
      <c r="B5834" s="10">
        <v>40.96</v>
      </c>
      <c r="C5834" s="9"/>
      <c r="D5834" s="9">
        <f t="shared" si="91"/>
        <v>40.96</v>
      </c>
      <c r="E5834" s="11"/>
      <c r="F5834" s="9"/>
    </row>
    <row r="5835" s="1" customFormat="1" customHeight="1" spans="1:6">
      <c r="A5835" s="9" t="str">
        <f>"10360519513"</f>
        <v>10360519513</v>
      </c>
      <c r="B5835" s="10">
        <v>36.42</v>
      </c>
      <c r="C5835" s="9"/>
      <c r="D5835" s="9">
        <f t="shared" si="91"/>
        <v>36.42</v>
      </c>
      <c r="E5835" s="11"/>
      <c r="F5835" s="9"/>
    </row>
    <row r="5836" s="1" customFormat="1" customHeight="1" spans="1:6">
      <c r="A5836" s="9" t="str">
        <f>"10360519514"</f>
        <v>10360519514</v>
      </c>
      <c r="B5836" s="10">
        <v>39.78</v>
      </c>
      <c r="C5836" s="9"/>
      <c r="D5836" s="9">
        <f t="shared" si="91"/>
        <v>39.78</v>
      </c>
      <c r="E5836" s="11"/>
      <c r="F5836" s="9"/>
    </row>
    <row r="5837" s="1" customFormat="1" customHeight="1" spans="1:6">
      <c r="A5837" s="9" t="str">
        <f>"10190519515"</f>
        <v>10190519515</v>
      </c>
      <c r="B5837" s="10">
        <v>49.66</v>
      </c>
      <c r="C5837" s="9"/>
      <c r="D5837" s="9">
        <f t="shared" si="91"/>
        <v>49.66</v>
      </c>
      <c r="E5837" s="11"/>
      <c r="F5837" s="9"/>
    </row>
    <row r="5838" s="1" customFormat="1" customHeight="1" spans="1:6">
      <c r="A5838" s="9" t="str">
        <f>"20270519516"</f>
        <v>20270519516</v>
      </c>
      <c r="B5838" s="10">
        <v>0</v>
      </c>
      <c r="C5838" s="9"/>
      <c r="D5838" s="9">
        <f t="shared" si="91"/>
        <v>0</v>
      </c>
      <c r="E5838" s="11"/>
      <c r="F5838" s="9" t="s">
        <v>7</v>
      </c>
    </row>
    <row r="5839" s="1" customFormat="1" customHeight="1" spans="1:6">
      <c r="A5839" s="9" t="str">
        <f>"10450519517"</f>
        <v>10450519517</v>
      </c>
      <c r="B5839" s="10">
        <v>42.21</v>
      </c>
      <c r="C5839" s="9"/>
      <c r="D5839" s="9">
        <f t="shared" si="91"/>
        <v>42.21</v>
      </c>
      <c r="E5839" s="11"/>
      <c r="F5839" s="9"/>
    </row>
    <row r="5840" s="1" customFormat="1" customHeight="1" spans="1:6">
      <c r="A5840" s="9" t="str">
        <f>"10070519518"</f>
        <v>10070519518</v>
      </c>
      <c r="B5840" s="10">
        <v>50.9</v>
      </c>
      <c r="C5840" s="9"/>
      <c r="D5840" s="9">
        <f t="shared" si="91"/>
        <v>50.9</v>
      </c>
      <c r="E5840" s="11"/>
      <c r="F5840" s="9"/>
    </row>
    <row r="5841" s="1" customFormat="1" customHeight="1" spans="1:6">
      <c r="A5841" s="9" t="str">
        <f>"10320519519"</f>
        <v>10320519519</v>
      </c>
      <c r="B5841" s="10">
        <v>39.54</v>
      </c>
      <c r="C5841" s="9"/>
      <c r="D5841" s="9">
        <f t="shared" si="91"/>
        <v>39.54</v>
      </c>
      <c r="E5841" s="11"/>
      <c r="F5841" s="9"/>
    </row>
    <row r="5842" s="1" customFormat="1" customHeight="1" spans="1:6">
      <c r="A5842" s="9" t="str">
        <f>"10330519520"</f>
        <v>10330519520</v>
      </c>
      <c r="B5842" s="10">
        <v>37.12</v>
      </c>
      <c r="C5842" s="9"/>
      <c r="D5842" s="9">
        <f t="shared" si="91"/>
        <v>37.12</v>
      </c>
      <c r="E5842" s="11"/>
      <c r="F5842" s="9"/>
    </row>
    <row r="5843" s="1" customFormat="1" customHeight="1" spans="1:6">
      <c r="A5843" s="9" t="str">
        <f>"10060519521"</f>
        <v>10060519521</v>
      </c>
      <c r="B5843" s="10">
        <v>25.74</v>
      </c>
      <c r="C5843" s="9"/>
      <c r="D5843" s="9">
        <f t="shared" si="91"/>
        <v>25.74</v>
      </c>
      <c r="E5843" s="11"/>
      <c r="F5843" s="9"/>
    </row>
    <row r="5844" s="1" customFormat="1" customHeight="1" spans="1:6">
      <c r="A5844" s="9" t="str">
        <f>"10360519522"</f>
        <v>10360519522</v>
      </c>
      <c r="B5844" s="10">
        <v>41.11</v>
      </c>
      <c r="C5844" s="9"/>
      <c r="D5844" s="9">
        <f t="shared" si="91"/>
        <v>41.11</v>
      </c>
      <c r="E5844" s="11"/>
      <c r="F5844" s="9"/>
    </row>
    <row r="5845" s="1" customFormat="1" customHeight="1" spans="1:6">
      <c r="A5845" s="9" t="str">
        <f>"10140519523"</f>
        <v>10140519523</v>
      </c>
      <c r="B5845" s="10">
        <v>43.12</v>
      </c>
      <c r="C5845" s="9"/>
      <c r="D5845" s="9">
        <f t="shared" si="91"/>
        <v>43.12</v>
      </c>
      <c r="E5845" s="11"/>
      <c r="F5845" s="9"/>
    </row>
    <row r="5846" s="1" customFormat="1" customHeight="1" spans="1:6">
      <c r="A5846" s="9" t="str">
        <f>"10300519524"</f>
        <v>10300519524</v>
      </c>
      <c r="B5846" s="10">
        <v>0</v>
      </c>
      <c r="C5846" s="9"/>
      <c r="D5846" s="9">
        <f t="shared" si="91"/>
        <v>0</v>
      </c>
      <c r="E5846" s="11"/>
      <c r="F5846" s="9" t="s">
        <v>7</v>
      </c>
    </row>
    <row r="5847" s="1" customFormat="1" customHeight="1" spans="1:6">
      <c r="A5847" s="9" t="str">
        <f>"10360519525"</f>
        <v>10360519525</v>
      </c>
      <c r="B5847" s="10">
        <v>0</v>
      </c>
      <c r="C5847" s="9"/>
      <c r="D5847" s="9">
        <f t="shared" si="91"/>
        <v>0</v>
      </c>
      <c r="E5847" s="11"/>
      <c r="F5847" s="9" t="s">
        <v>7</v>
      </c>
    </row>
    <row r="5848" s="1" customFormat="1" customHeight="1" spans="1:6">
      <c r="A5848" s="9" t="str">
        <f>"10060519526"</f>
        <v>10060519526</v>
      </c>
      <c r="B5848" s="10">
        <v>0</v>
      </c>
      <c r="C5848" s="9"/>
      <c r="D5848" s="9">
        <f t="shared" si="91"/>
        <v>0</v>
      </c>
      <c r="E5848" s="11"/>
      <c r="F5848" s="9" t="s">
        <v>7</v>
      </c>
    </row>
    <row r="5849" s="1" customFormat="1" customHeight="1" spans="1:6">
      <c r="A5849" s="9" t="str">
        <f>"10360519527"</f>
        <v>10360519527</v>
      </c>
      <c r="B5849" s="10">
        <v>36.64</v>
      </c>
      <c r="C5849" s="9"/>
      <c r="D5849" s="9">
        <f t="shared" si="91"/>
        <v>36.64</v>
      </c>
      <c r="E5849" s="11"/>
      <c r="F5849" s="9"/>
    </row>
    <row r="5850" s="1" customFormat="1" customHeight="1" spans="1:6">
      <c r="A5850" s="9" t="str">
        <f>"10300519528"</f>
        <v>10300519528</v>
      </c>
      <c r="B5850" s="10">
        <v>47.75</v>
      </c>
      <c r="C5850" s="9"/>
      <c r="D5850" s="9">
        <f t="shared" si="91"/>
        <v>47.75</v>
      </c>
      <c r="E5850" s="11"/>
      <c r="F5850" s="9"/>
    </row>
    <row r="5851" s="1" customFormat="1" customHeight="1" spans="1:6">
      <c r="A5851" s="9" t="str">
        <f>"20270519529"</f>
        <v>20270519529</v>
      </c>
      <c r="B5851" s="10">
        <v>48.78</v>
      </c>
      <c r="C5851" s="9"/>
      <c r="D5851" s="9">
        <f t="shared" si="91"/>
        <v>48.78</v>
      </c>
      <c r="E5851" s="11"/>
      <c r="F5851" s="9"/>
    </row>
    <row r="5852" s="1" customFormat="1" customHeight="1" spans="1:6">
      <c r="A5852" s="9" t="str">
        <f>"10270519530"</f>
        <v>10270519530</v>
      </c>
      <c r="B5852" s="10">
        <v>35.34</v>
      </c>
      <c r="C5852" s="9"/>
      <c r="D5852" s="9">
        <f t="shared" si="91"/>
        <v>35.34</v>
      </c>
      <c r="E5852" s="11"/>
      <c r="F5852" s="9"/>
    </row>
    <row r="5853" s="1" customFormat="1" customHeight="1" spans="1:6">
      <c r="A5853" s="9" t="str">
        <f>"10500519601"</f>
        <v>10500519601</v>
      </c>
      <c r="B5853" s="10">
        <v>39.13</v>
      </c>
      <c r="C5853" s="9"/>
      <c r="D5853" s="9">
        <f t="shared" si="91"/>
        <v>39.13</v>
      </c>
      <c r="E5853" s="11"/>
      <c r="F5853" s="9"/>
    </row>
    <row r="5854" s="1" customFormat="1" customHeight="1" spans="1:6">
      <c r="A5854" s="9" t="str">
        <f>"10300519602"</f>
        <v>10300519602</v>
      </c>
      <c r="B5854" s="10">
        <v>39.32</v>
      </c>
      <c r="C5854" s="9"/>
      <c r="D5854" s="9">
        <f t="shared" si="91"/>
        <v>39.32</v>
      </c>
      <c r="E5854" s="11"/>
      <c r="F5854" s="9"/>
    </row>
    <row r="5855" s="1" customFormat="1" customHeight="1" spans="1:6">
      <c r="A5855" s="9" t="str">
        <f>"10040519603"</f>
        <v>10040519603</v>
      </c>
      <c r="B5855" s="10">
        <v>44.79</v>
      </c>
      <c r="C5855" s="9"/>
      <c r="D5855" s="9">
        <f t="shared" si="91"/>
        <v>44.79</v>
      </c>
      <c r="E5855" s="11"/>
      <c r="F5855" s="9"/>
    </row>
    <row r="5856" s="1" customFormat="1" customHeight="1" spans="1:6">
      <c r="A5856" s="9" t="str">
        <f>"10120519604"</f>
        <v>10120519604</v>
      </c>
      <c r="B5856" s="10">
        <v>46.28</v>
      </c>
      <c r="C5856" s="9"/>
      <c r="D5856" s="9">
        <f t="shared" si="91"/>
        <v>46.28</v>
      </c>
      <c r="E5856" s="11"/>
      <c r="F5856" s="9"/>
    </row>
    <row r="5857" s="1" customFormat="1" customHeight="1" spans="1:6">
      <c r="A5857" s="9" t="str">
        <f>"10020519605"</f>
        <v>10020519605</v>
      </c>
      <c r="B5857" s="10">
        <v>52.27</v>
      </c>
      <c r="C5857" s="9"/>
      <c r="D5857" s="9">
        <f t="shared" si="91"/>
        <v>52.27</v>
      </c>
      <c r="E5857" s="11"/>
      <c r="F5857" s="9"/>
    </row>
    <row r="5858" s="1" customFormat="1" customHeight="1" spans="1:6">
      <c r="A5858" s="9" t="str">
        <f>"10360519606"</f>
        <v>10360519606</v>
      </c>
      <c r="B5858" s="10">
        <v>0</v>
      </c>
      <c r="C5858" s="9"/>
      <c r="D5858" s="9">
        <f t="shared" si="91"/>
        <v>0</v>
      </c>
      <c r="E5858" s="11"/>
      <c r="F5858" s="9" t="s">
        <v>7</v>
      </c>
    </row>
    <row r="5859" s="1" customFormat="1" customHeight="1" spans="1:6">
      <c r="A5859" s="9" t="str">
        <f>"10090519607"</f>
        <v>10090519607</v>
      </c>
      <c r="B5859" s="10">
        <v>45.4</v>
      </c>
      <c r="C5859" s="9"/>
      <c r="D5859" s="9">
        <f t="shared" si="91"/>
        <v>45.4</v>
      </c>
      <c r="E5859" s="11"/>
      <c r="F5859" s="9"/>
    </row>
    <row r="5860" s="1" customFormat="1" customHeight="1" spans="1:6">
      <c r="A5860" s="9" t="str">
        <f>"10090519608"</f>
        <v>10090519608</v>
      </c>
      <c r="B5860" s="10">
        <v>0</v>
      </c>
      <c r="C5860" s="9"/>
      <c r="D5860" s="9">
        <f t="shared" si="91"/>
        <v>0</v>
      </c>
      <c r="E5860" s="11"/>
      <c r="F5860" s="9" t="s">
        <v>7</v>
      </c>
    </row>
    <row r="5861" s="1" customFormat="1" customHeight="1" spans="1:6">
      <c r="A5861" s="9" t="str">
        <f>"10170519609"</f>
        <v>10170519609</v>
      </c>
      <c r="B5861" s="10">
        <v>44.64</v>
      </c>
      <c r="C5861" s="9"/>
      <c r="D5861" s="9">
        <f t="shared" si="91"/>
        <v>44.64</v>
      </c>
      <c r="E5861" s="11"/>
      <c r="F5861" s="9"/>
    </row>
    <row r="5862" s="1" customFormat="1" customHeight="1" spans="1:6">
      <c r="A5862" s="9" t="str">
        <f>"10210519610"</f>
        <v>10210519610</v>
      </c>
      <c r="B5862" s="10">
        <v>36.97</v>
      </c>
      <c r="C5862" s="9"/>
      <c r="D5862" s="9">
        <f t="shared" si="91"/>
        <v>36.97</v>
      </c>
      <c r="E5862" s="11"/>
      <c r="F5862" s="9"/>
    </row>
    <row r="5863" s="1" customFormat="1" customHeight="1" spans="1:6">
      <c r="A5863" s="9" t="str">
        <f>"10530519611"</f>
        <v>10530519611</v>
      </c>
      <c r="B5863" s="10">
        <v>39.85</v>
      </c>
      <c r="C5863" s="9">
        <v>10</v>
      </c>
      <c r="D5863" s="9">
        <f t="shared" si="91"/>
        <v>49.85</v>
      </c>
      <c r="E5863" s="12" t="s">
        <v>8</v>
      </c>
      <c r="F5863" s="9"/>
    </row>
    <row r="5864" s="1" customFormat="1" customHeight="1" spans="1:6">
      <c r="A5864" s="9" t="str">
        <f>"10330519612"</f>
        <v>10330519612</v>
      </c>
      <c r="B5864" s="10">
        <v>57.4</v>
      </c>
      <c r="C5864" s="9"/>
      <c r="D5864" s="9">
        <f t="shared" si="91"/>
        <v>57.4</v>
      </c>
      <c r="E5864" s="11"/>
      <c r="F5864" s="9"/>
    </row>
    <row r="5865" s="1" customFormat="1" customHeight="1" spans="1:6">
      <c r="A5865" s="9" t="str">
        <f>"10100519613"</f>
        <v>10100519613</v>
      </c>
      <c r="B5865" s="10">
        <v>37.55</v>
      </c>
      <c r="C5865" s="9"/>
      <c r="D5865" s="9">
        <f t="shared" si="91"/>
        <v>37.55</v>
      </c>
      <c r="E5865" s="11"/>
      <c r="F5865" s="9"/>
    </row>
    <row r="5866" s="1" customFormat="1" customHeight="1" spans="1:6">
      <c r="A5866" s="9" t="str">
        <f>"10530519614"</f>
        <v>10530519614</v>
      </c>
      <c r="B5866" s="10">
        <v>42.98</v>
      </c>
      <c r="C5866" s="9"/>
      <c r="D5866" s="9">
        <f t="shared" si="91"/>
        <v>42.98</v>
      </c>
      <c r="E5866" s="11"/>
      <c r="F5866" s="9"/>
    </row>
    <row r="5867" s="1" customFormat="1" customHeight="1" spans="1:6">
      <c r="A5867" s="9" t="str">
        <f>"10360519615"</f>
        <v>10360519615</v>
      </c>
      <c r="B5867" s="10">
        <v>44.81</v>
      </c>
      <c r="C5867" s="9"/>
      <c r="D5867" s="9">
        <f t="shared" si="91"/>
        <v>44.81</v>
      </c>
      <c r="E5867" s="11"/>
      <c r="F5867" s="9"/>
    </row>
    <row r="5868" s="1" customFormat="1" customHeight="1" spans="1:6">
      <c r="A5868" s="9" t="str">
        <f>"10070519616"</f>
        <v>10070519616</v>
      </c>
      <c r="B5868" s="10">
        <v>0</v>
      </c>
      <c r="C5868" s="9"/>
      <c r="D5868" s="9">
        <f t="shared" si="91"/>
        <v>0</v>
      </c>
      <c r="E5868" s="11"/>
      <c r="F5868" s="9" t="s">
        <v>7</v>
      </c>
    </row>
    <row r="5869" s="1" customFormat="1" customHeight="1" spans="1:6">
      <c r="A5869" s="9" t="str">
        <f>"10360519617"</f>
        <v>10360519617</v>
      </c>
      <c r="B5869" s="10">
        <v>0</v>
      </c>
      <c r="C5869" s="9"/>
      <c r="D5869" s="9">
        <f t="shared" si="91"/>
        <v>0</v>
      </c>
      <c r="E5869" s="11"/>
      <c r="F5869" s="9" t="s">
        <v>7</v>
      </c>
    </row>
    <row r="5870" s="1" customFormat="1" customHeight="1" spans="1:6">
      <c r="A5870" s="9" t="str">
        <f>"10410519618"</f>
        <v>10410519618</v>
      </c>
      <c r="B5870" s="10">
        <v>46.37</v>
      </c>
      <c r="C5870" s="9"/>
      <c r="D5870" s="9">
        <f t="shared" si="91"/>
        <v>46.37</v>
      </c>
      <c r="E5870" s="11"/>
      <c r="F5870" s="9"/>
    </row>
    <row r="5871" s="1" customFormat="1" customHeight="1" spans="1:6">
      <c r="A5871" s="9" t="str">
        <f>"20270519619"</f>
        <v>20270519619</v>
      </c>
      <c r="B5871" s="10">
        <v>46.97</v>
      </c>
      <c r="C5871" s="9"/>
      <c r="D5871" s="9">
        <f t="shared" si="91"/>
        <v>46.97</v>
      </c>
      <c r="E5871" s="11"/>
      <c r="F5871" s="9"/>
    </row>
    <row r="5872" s="1" customFormat="1" customHeight="1" spans="1:6">
      <c r="A5872" s="9" t="str">
        <f>"10210519620"</f>
        <v>10210519620</v>
      </c>
      <c r="B5872" s="10">
        <v>0</v>
      </c>
      <c r="C5872" s="9"/>
      <c r="D5872" s="9">
        <f t="shared" si="91"/>
        <v>0</v>
      </c>
      <c r="E5872" s="11"/>
      <c r="F5872" s="9" t="s">
        <v>7</v>
      </c>
    </row>
    <row r="5873" s="1" customFormat="1" customHeight="1" spans="1:6">
      <c r="A5873" s="9" t="str">
        <f>"10370519621"</f>
        <v>10370519621</v>
      </c>
      <c r="B5873" s="10">
        <v>0</v>
      </c>
      <c r="C5873" s="9"/>
      <c r="D5873" s="9">
        <f t="shared" si="91"/>
        <v>0</v>
      </c>
      <c r="E5873" s="11"/>
      <c r="F5873" s="9" t="s">
        <v>7</v>
      </c>
    </row>
    <row r="5874" s="1" customFormat="1" customHeight="1" spans="1:6">
      <c r="A5874" s="9" t="str">
        <f>"10460519622"</f>
        <v>10460519622</v>
      </c>
      <c r="B5874" s="10">
        <v>0</v>
      </c>
      <c r="C5874" s="9"/>
      <c r="D5874" s="9">
        <f t="shared" si="91"/>
        <v>0</v>
      </c>
      <c r="E5874" s="11"/>
      <c r="F5874" s="9" t="s">
        <v>7</v>
      </c>
    </row>
    <row r="5875" s="1" customFormat="1" customHeight="1" spans="1:6">
      <c r="A5875" s="9" t="str">
        <f>"10360519623"</f>
        <v>10360519623</v>
      </c>
      <c r="B5875" s="10">
        <v>35.83</v>
      </c>
      <c r="C5875" s="9"/>
      <c r="D5875" s="9">
        <f t="shared" si="91"/>
        <v>35.83</v>
      </c>
      <c r="E5875" s="11"/>
      <c r="F5875" s="9"/>
    </row>
    <row r="5876" s="1" customFormat="1" customHeight="1" spans="1:6">
      <c r="A5876" s="9" t="str">
        <f>"10080519624"</f>
        <v>10080519624</v>
      </c>
      <c r="B5876" s="10">
        <v>39.73</v>
      </c>
      <c r="C5876" s="9"/>
      <c r="D5876" s="9">
        <f t="shared" si="91"/>
        <v>39.73</v>
      </c>
      <c r="E5876" s="11"/>
      <c r="F5876" s="9"/>
    </row>
    <row r="5877" s="1" customFormat="1" customHeight="1" spans="1:6">
      <c r="A5877" s="9" t="str">
        <f>"10270519625"</f>
        <v>10270519625</v>
      </c>
      <c r="B5877" s="10">
        <v>42.55</v>
      </c>
      <c r="C5877" s="9"/>
      <c r="D5877" s="9">
        <f t="shared" si="91"/>
        <v>42.55</v>
      </c>
      <c r="E5877" s="11"/>
      <c r="F5877" s="9"/>
    </row>
    <row r="5878" s="1" customFormat="1" customHeight="1" spans="1:6">
      <c r="A5878" s="9" t="str">
        <f>"10400519626"</f>
        <v>10400519626</v>
      </c>
      <c r="B5878" s="10">
        <v>42.11</v>
      </c>
      <c r="C5878" s="9"/>
      <c r="D5878" s="9">
        <f t="shared" si="91"/>
        <v>42.11</v>
      </c>
      <c r="E5878" s="11"/>
      <c r="F5878" s="9"/>
    </row>
    <row r="5879" s="1" customFormat="1" customHeight="1" spans="1:6">
      <c r="A5879" s="9" t="str">
        <f>"10060519627"</f>
        <v>10060519627</v>
      </c>
      <c r="B5879" s="10">
        <v>36.41</v>
      </c>
      <c r="C5879" s="9"/>
      <c r="D5879" s="9">
        <f t="shared" si="91"/>
        <v>36.41</v>
      </c>
      <c r="E5879" s="11"/>
      <c r="F5879" s="9"/>
    </row>
    <row r="5880" s="1" customFormat="1" customHeight="1" spans="1:6">
      <c r="A5880" s="9" t="str">
        <f>"10240519628"</f>
        <v>10240519628</v>
      </c>
      <c r="B5880" s="10">
        <v>0</v>
      </c>
      <c r="C5880" s="9"/>
      <c r="D5880" s="9">
        <f t="shared" si="91"/>
        <v>0</v>
      </c>
      <c r="E5880" s="11"/>
      <c r="F5880" s="9" t="s">
        <v>7</v>
      </c>
    </row>
    <row r="5881" s="1" customFormat="1" customHeight="1" spans="1:6">
      <c r="A5881" s="9" t="str">
        <f>"10430519629"</f>
        <v>10430519629</v>
      </c>
      <c r="B5881" s="10">
        <v>33.79</v>
      </c>
      <c r="C5881" s="9"/>
      <c r="D5881" s="9">
        <f t="shared" si="91"/>
        <v>33.79</v>
      </c>
      <c r="E5881" s="11"/>
      <c r="F5881" s="9"/>
    </row>
    <row r="5882" s="1" customFormat="1" customHeight="1" spans="1:6">
      <c r="A5882" s="9" t="str">
        <f>"10080519630"</f>
        <v>10080519630</v>
      </c>
      <c r="B5882" s="10">
        <v>0</v>
      </c>
      <c r="C5882" s="9"/>
      <c r="D5882" s="9">
        <f t="shared" si="91"/>
        <v>0</v>
      </c>
      <c r="E5882" s="11"/>
      <c r="F5882" s="9" t="s">
        <v>7</v>
      </c>
    </row>
    <row r="5883" s="1" customFormat="1" customHeight="1" spans="1:6">
      <c r="A5883" s="9" t="str">
        <f>"10300519701"</f>
        <v>10300519701</v>
      </c>
      <c r="B5883" s="10">
        <v>0</v>
      </c>
      <c r="C5883" s="9"/>
      <c r="D5883" s="9">
        <f t="shared" si="91"/>
        <v>0</v>
      </c>
      <c r="E5883" s="11"/>
      <c r="F5883" s="9" t="s">
        <v>7</v>
      </c>
    </row>
    <row r="5884" s="1" customFormat="1" customHeight="1" spans="1:6">
      <c r="A5884" s="9" t="str">
        <f>"10290519702"</f>
        <v>10290519702</v>
      </c>
      <c r="B5884" s="10">
        <v>29.69</v>
      </c>
      <c r="C5884" s="9"/>
      <c r="D5884" s="9">
        <f t="shared" si="91"/>
        <v>29.69</v>
      </c>
      <c r="E5884" s="11"/>
      <c r="F5884" s="9"/>
    </row>
    <row r="5885" s="1" customFormat="1" customHeight="1" spans="1:6">
      <c r="A5885" s="9" t="str">
        <f>"10290519703"</f>
        <v>10290519703</v>
      </c>
      <c r="B5885" s="10">
        <v>48.02</v>
      </c>
      <c r="C5885" s="9"/>
      <c r="D5885" s="9">
        <f t="shared" si="91"/>
        <v>48.02</v>
      </c>
      <c r="E5885" s="11"/>
      <c r="F5885" s="9"/>
    </row>
    <row r="5886" s="1" customFormat="1" customHeight="1" spans="1:6">
      <c r="A5886" s="9" t="str">
        <f>"10070519704"</f>
        <v>10070519704</v>
      </c>
      <c r="B5886" s="10">
        <v>39.29</v>
      </c>
      <c r="C5886" s="9"/>
      <c r="D5886" s="9">
        <f t="shared" si="91"/>
        <v>39.29</v>
      </c>
      <c r="E5886" s="11"/>
      <c r="F5886" s="9"/>
    </row>
    <row r="5887" s="1" customFormat="1" customHeight="1" spans="1:6">
      <c r="A5887" s="9" t="str">
        <f>"10320519705"</f>
        <v>10320519705</v>
      </c>
      <c r="B5887" s="10">
        <v>40.7</v>
      </c>
      <c r="C5887" s="9"/>
      <c r="D5887" s="9">
        <f t="shared" si="91"/>
        <v>40.7</v>
      </c>
      <c r="E5887" s="11"/>
      <c r="F5887" s="9"/>
    </row>
    <row r="5888" s="1" customFormat="1" customHeight="1" spans="1:6">
      <c r="A5888" s="9" t="str">
        <f>"10500519706"</f>
        <v>10500519706</v>
      </c>
      <c r="B5888" s="10">
        <v>40.06</v>
      </c>
      <c r="C5888" s="9"/>
      <c r="D5888" s="9">
        <f t="shared" si="91"/>
        <v>40.06</v>
      </c>
      <c r="E5888" s="11"/>
      <c r="F5888" s="9"/>
    </row>
    <row r="5889" s="1" customFormat="1" customHeight="1" spans="1:6">
      <c r="A5889" s="9" t="str">
        <f>"10510519707"</f>
        <v>10510519707</v>
      </c>
      <c r="B5889" s="10">
        <v>0</v>
      </c>
      <c r="C5889" s="9"/>
      <c r="D5889" s="9">
        <f t="shared" si="91"/>
        <v>0</v>
      </c>
      <c r="E5889" s="11"/>
      <c r="F5889" s="9" t="s">
        <v>7</v>
      </c>
    </row>
    <row r="5890" s="1" customFormat="1" customHeight="1" spans="1:6">
      <c r="A5890" s="9" t="str">
        <f>"10410519708"</f>
        <v>10410519708</v>
      </c>
      <c r="B5890" s="10">
        <v>41.47</v>
      </c>
      <c r="C5890" s="9"/>
      <c r="D5890" s="9">
        <f t="shared" si="91"/>
        <v>41.47</v>
      </c>
      <c r="E5890" s="11"/>
      <c r="F5890" s="9"/>
    </row>
    <row r="5891" s="1" customFormat="1" customHeight="1" spans="1:6">
      <c r="A5891" s="9" t="str">
        <f>"10010519709"</f>
        <v>10010519709</v>
      </c>
      <c r="B5891" s="10">
        <v>42.22</v>
      </c>
      <c r="C5891" s="9"/>
      <c r="D5891" s="9">
        <f t="shared" ref="D5891:D5954" si="92">SUM(B5891:C5891)</f>
        <v>42.22</v>
      </c>
      <c r="E5891" s="11"/>
      <c r="F5891" s="9"/>
    </row>
    <row r="5892" s="1" customFormat="1" customHeight="1" spans="1:6">
      <c r="A5892" s="9" t="str">
        <f>"10330519710"</f>
        <v>10330519710</v>
      </c>
      <c r="B5892" s="10">
        <v>0</v>
      </c>
      <c r="C5892" s="9"/>
      <c r="D5892" s="9">
        <f t="shared" si="92"/>
        <v>0</v>
      </c>
      <c r="E5892" s="11"/>
      <c r="F5892" s="9" t="s">
        <v>7</v>
      </c>
    </row>
    <row r="5893" s="1" customFormat="1" customHeight="1" spans="1:6">
      <c r="A5893" s="9" t="str">
        <f>"10340519711"</f>
        <v>10340519711</v>
      </c>
      <c r="B5893" s="10">
        <v>54.25</v>
      </c>
      <c r="C5893" s="9"/>
      <c r="D5893" s="9">
        <f t="shared" si="92"/>
        <v>54.25</v>
      </c>
      <c r="E5893" s="11"/>
      <c r="F5893" s="9"/>
    </row>
    <row r="5894" s="1" customFormat="1" customHeight="1" spans="1:6">
      <c r="A5894" s="9" t="str">
        <f>"10190519712"</f>
        <v>10190519712</v>
      </c>
      <c r="B5894" s="10">
        <v>28.73</v>
      </c>
      <c r="C5894" s="9"/>
      <c r="D5894" s="9">
        <f t="shared" si="92"/>
        <v>28.73</v>
      </c>
      <c r="E5894" s="11"/>
      <c r="F5894" s="9"/>
    </row>
    <row r="5895" s="1" customFormat="1" customHeight="1" spans="1:6">
      <c r="A5895" s="9" t="str">
        <f>"10060519713"</f>
        <v>10060519713</v>
      </c>
      <c r="B5895" s="10">
        <v>0</v>
      </c>
      <c r="C5895" s="9"/>
      <c r="D5895" s="9">
        <f t="shared" si="92"/>
        <v>0</v>
      </c>
      <c r="E5895" s="11"/>
      <c r="F5895" s="9" t="s">
        <v>7</v>
      </c>
    </row>
    <row r="5896" s="1" customFormat="1" customHeight="1" spans="1:6">
      <c r="A5896" s="9" t="str">
        <f>"10490519714"</f>
        <v>10490519714</v>
      </c>
      <c r="B5896" s="10">
        <v>39.32</v>
      </c>
      <c r="C5896" s="9"/>
      <c r="D5896" s="9">
        <f t="shared" si="92"/>
        <v>39.32</v>
      </c>
      <c r="E5896" s="11"/>
      <c r="F5896" s="9"/>
    </row>
    <row r="5897" s="1" customFormat="1" customHeight="1" spans="1:6">
      <c r="A5897" s="9" t="str">
        <f>"10040519715"</f>
        <v>10040519715</v>
      </c>
      <c r="B5897" s="10">
        <v>38.91</v>
      </c>
      <c r="C5897" s="9"/>
      <c r="D5897" s="9">
        <f t="shared" si="92"/>
        <v>38.91</v>
      </c>
      <c r="E5897" s="11"/>
      <c r="F5897" s="9"/>
    </row>
    <row r="5898" s="1" customFormat="1" customHeight="1" spans="1:6">
      <c r="A5898" s="9" t="str">
        <f>"10050519716"</f>
        <v>10050519716</v>
      </c>
      <c r="B5898" s="10">
        <v>39.29</v>
      </c>
      <c r="C5898" s="9"/>
      <c r="D5898" s="9">
        <f t="shared" si="92"/>
        <v>39.29</v>
      </c>
      <c r="E5898" s="11"/>
      <c r="F5898" s="9"/>
    </row>
    <row r="5899" s="1" customFormat="1" customHeight="1" spans="1:6">
      <c r="A5899" s="9" t="str">
        <f>"10360519717"</f>
        <v>10360519717</v>
      </c>
      <c r="B5899" s="10">
        <v>48.83</v>
      </c>
      <c r="C5899" s="9"/>
      <c r="D5899" s="9">
        <f t="shared" si="92"/>
        <v>48.83</v>
      </c>
      <c r="E5899" s="11"/>
      <c r="F5899" s="9"/>
    </row>
    <row r="5900" s="1" customFormat="1" customHeight="1" spans="1:6">
      <c r="A5900" s="9" t="str">
        <f>"10530519718"</f>
        <v>10530519718</v>
      </c>
      <c r="B5900" s="10">
        <v>40.04</v>
      </c>
      <c r="C5900" s="9"/>
      <c r="D5900" s="9">
        <f t="shared" si="92"/>
        <v>40.04</v>
      </c>
      <c r="E5900" s="11"/>
      <c r="F5900" s="9"/>
    </row>
    <row r="5901" s="1" customFormat="1" customHeight="1" spans="1:6">
      <c r="A5901" s="9" t="str">
        <f>"10360519719"</f>
        <v>10360519719</v>
      </c>
      <c r="B5901" s="10">
        <v>56.47</v>
      </c>
      <c r="C5901" s="9"/>
      <c r="D5901" s="9">
        <f t="shared" si="92"/>
        <v>56.47</v>
      </c>
      <c r="E5901" s="11"/>
      <c r="F5901" s="9"/>
    </row>
    <row r="5902" s="1" customFormat="1" customHeight="1" spans="1:6">
      <c r="A5902" s="9" t="str">
        <f>"10240519720"</f>
        <v>10240519720</v>
      </c>
      <c r="B5902" s="10">
        <v>0</v>
      </c>
      <c r="C5902" s="9"/>
      <c r="D5902" s="9">
        <f t="shared" si="92"/>
        <v>0</v>
      </c>
      <c r="E5902" s="11"/>
      <c r="F5902" s="9" t="s">
        <v>7</v>
      </c>
    </row>
    <row r="5903" s="1" customFormat="1" customHeight="1" spans="1:6">
      <c r="A5903" s="9" t="str">
        <f>"10060519721"</f>
        <v>10060519721</v>
      </c>
      <c r="B5903" s="10">
        <v>39.74</v>
      </c>
      <c r="C5903" s="9"/>
      <c r="D5903" s="9">
        <f t="shared" si="92"/>
        <v>39.74</v>
      </c>
      <c r="E5903" s="11"/>
      <c r="F5903" s="9"/>
    </row>
    <row r="5904" s="1" customFormat="1" customHeight="1" spans="1:6">
      <c r="A5904" s="9" t="str">
        <f>"10080519722"</f>
        <v>10080519722</v>
      </c>
      <c r="B5904" s="10">
        <v>33.72</v>
      </c>
      <c r="C5904" s="9"/>
      <c r="D5904" s="9">
        <f t="shared" si="92"/>
        <v>33.72</v>
      </c>
      <c r="E5904" s="11"/>
      <c r="F5904" s="9"/>
    </row>
    <row r="5905" s="1" customFormat="1" customHeight="1" spans="1:6">
      <c r="A5905" s="9" t="str">
        <f>"10010519723"</f>
        <v>10010519723</v>
      </c>
      <c r="B5905" s="10">
        <v>44.67</v>
      </c>
      <c r="C5905" s="9"/>
      <c r="D5905" s="9">
        <f t="shared" si="92"/>
        <v>44.67</v>
      </c>
      <c r="E5905" s="11"/>
      <c r="F5905" s="9"/>
    </row>
    <row r="5906" s="1" customFormat="1" customHeight="1" spans="1:6">
      <c r="A5906" s="9" t="str">
        <f>"10360519724"</f>
        <v>10360519724</v>
      </c>
      <c r="B5906" s="10">
        <v>0</v>
      </c>
      <c r="C5906" s="9"/>
      <c r="D5906" s="9">
        <f t="shared" si="92"/>
        <v>0</v>
      </c>
      <c r="E5906" s="11"/>
      <c r="F5906" s="9" t="s">
        <v>7</v>
      </c>
    </row>
    <row r="5907" s="1" customFormat="1" customHeight="1" spans="1:6">
      <c r="A5907" s="9" t="str">
        <f>"10060519725"</f>
        <v>10060519725</v>
      </c>
      <c r="B5907" s="10">
        <v>0</v>
      </c>
      <c r="C5907" s="9"/>
      <c r="D5907" s="9">
        <f t="shared" si="92"/>
        <v>0</v>
      </c>
      <c r="E5907" s="11"/>
      <c r="F5907" s="9" t="s">
        <v>7</v>
      </c>
    </row>
    <row r="5908" s="1" customFormat="1" customHeight="1" spans="1:6">
      <c r="A5908" s="9" t="str">
        <f>"10060519726"</f>
        <v>10060519726</v>
      </c>
      <c r="B5908" s="10">
        <v>46.33</v>
      </c>
      <c r="C5908" s="9"/>
      <c r="D5908" s="9">
        <f t="shared" si="92"/>
        <v>46.33</v>
      </c>
      <c r="E5908" s="11"/>
      <c r="F5908" s="9"/>
    </row>
    <row r="5909" s="1" customFormat="1" customHeight="1" spans="1:6">
      <c r="A5909" s="9" t="str">
        <f>"10470519727"</f>
        <v>10470519727</v>
      </c>
      <c r="B5909" s="10">
        <v>33.19</v>
      </c>
      <c r="C5909" s="9"/>
      <c r="D5909" s="9">
        <f t="shared" si="92"/>
        <v>33.19</v>
      </c>
      <c r="E5909" s="11"/>
      <c r="F5909" s="9"/>
    </row>
    <row r="5910" s="1" customFormat="1" customHeight="1" spans="1:6">
      <c r="A5910" s="9" t="str">
        <f>"10210519728"</f>
        <v>10210519728</v>
      </c>
      <c r="B5910" s="10">
        <v>0</v>
      </c>
      <c r="C5910" s="9"/>
      <c r="D5910" s="9">
        <f t="shared" si="92"/>
        <v>0</v>
      </c>
      <c r="E5910" s="11"/>
      <c r="F5910" s="9" t="s">
        <v>7</v>
      </c>
    </row>
    <row r="5911" s="1" customFormat="1" customHeight="1" spans="1:6">
      <c r="A5911" s="9" t="str">
        <f>"10330519729"</f>
        <v>10330519729</v>
      </c>
      <c r="B5911" s="10">
        <v>30.28</v>
      </c>
      <c r="C5911" s="9"/>
      <c r="D5911" s="9">
        <f t="shared" si="92"/>
        <v>30.28</v>
      </c>
      <c r="E5911" s="11"/>
      <c r="F5911" s="9"/>
    </row>
    <row r="5912" s="1" customFormat="1" customHeight="1" spans="1:6">
      <c r="A5912" s="9" t="str">
        <f>"10350519730"</f>
        <v>10350519730</v>
      </c>
      <c r="B5912" s="10">
        <v>0</v>
      </c>
      <c r="C5912" s="9"/>
      <c r="D5912" s="9">
        <f t="shared" si="92"/>
        <v>0</v>
      </c>
      <c r="E5912" s="11"/>
      <c r="F5912" s="9" t="s">
        <v>7</v>
      </c>
    </row>
    <row r="5913" s="1" customFormat="1" customHeight="1" spans="1:6">
      <c r="A5913" s="9" t="str">
        <f>"10070519801"</f>
        <v>10070519801</v>
      </c>
      <c r="B5913" s="10">
        <v>41.77</v>
      </c>
      <c r="C5913" s="9"/>
      <c r="D5913" s="9">
        <f t="shared" si="92"/>
        <v>41.77</v>
      </c>
      <c r="E5913" s="11"/>
      <c r="F5913" s="9"/>
    </row>
    <row r="5914" s="1" customFormat="1" customHeight="1" spans="1:6">
      <c r="A5914" s="9" t="str">
        <f>"10090519802"</f>
        <v>10090519802</v>
      </c>
      <c r="B5914" s="10">
        <v>51.74</v>
      </c>
      <c r="C5914" s="9"/>
      <c r="D5914" s="9">
        <f t="shared" si="92"/>
        <v>51.74</v>
      </c>
      <c r="E5914" s="11"/>
      <c r="F5914" s="9"/>
    </row>
    <row r="5915" s="1" customFormat="1" customHeight="1" spans="1:6">
      <c r="A5915" s="9" t="str">
        <f>"10360519803"</f>
        <v>10360519803</v>
      </c>
      <c r="B5915" s="10">
        <v>39.29</v>
      </c>
      <c r="C5915" s="9"/>
      <c r="D5915" s="9">
        <f t="shared" si="92"/>
        <v>39.29</v>
      </c>
      <c r="E5915" s="11"/>
      <c r="F5915" s="9"/>
    </row>
    <row r="5916" s="1" customFormat="1" customHeight="1" spans="1:6">
      <c r="A5916" s="9" t="str">
        <f>"10360519804"</f>
        <v>10360519804</v>
      </c>
      <c r="B5916" s="10">
        <v>0</v>
      </c>
      <c r="C5916" s="9"/>
      <c r="D5916" s="9">
        <f t="shared" si="92"/>
        <v>0</v>
      </c>
      <c r="E5916" s="11"/>
      <c r="F5916" s="9" t="s">
        <v>7</v>
      </c>
    </row>
    <row r="5917" s="1" customFormat="1" customHeight="1" spans="1:6">
      <c r="A5917" s="9" t="str">
        <f>"10530519805"</f>
        <v>10530519805</v>
      </c>
      <c r="B5917" s="10">
        <v>22.93</v>
      </c>
      <c r="C5917" s="9"/>
      <c r="D5917" s="9">
        <f t="shared" si="92"/>
        <v>22.93</v>
      </c>
      <c r="E5917" s="11"/>
      <c r="F5917" s="9"/>
    </row>
    <row r="5918" s="1" customFormat="1" customHeight="1" spans="1:6">
      <c r="A5918" s="9" t="str">
        <f>"10360519806"</f>
        <v>10360519806</v>
      </c>
      <c r="B5918" s="10">
        <v>38.22</v>
      </c>
      <c r="C5918" s="9"/>
      <c r="D5918" s="9">
        <f t="shared" si="92"/>
        <v>38.22</v>
      </c>
      <c r="E5918" s="11"/>
      <c r="F5918" s="9"/>
    </row>
    <row r="5919" s="1" customFormat="1" customHeight="1" spans="1:6">
      <c r="A5919" s="9" t="str">
        <f>"10140519807"</f>
        <v>10140519807</v>
      </c>
      <c r="B5919" s="10">
        <v>46.41</v>
      </c>
      <c r="C5919" s="9"/>
      <c r="D5919" s="9">
        <f t="shared" si="92"/>
        <v>46.41</v>
      </c>
      <c r="E5919" s="11"/>
      <c r="F5919" s="9"/>
    </row>
    <row r="5920" s="1" customFormat="1" customHeight="1" spans="1:6">
      <c r="A5920" s="9" t="str">
        <f>"10490519808"</f>
        <v>10490519808</v>
      </c>
      <c r="B5920" s="10">
        <v>0</v>
      </c>
      <c r="C5920" s="9"/>
      <c r="D5920" s="9">
        <f t="shared" si="92"/>
        <v>0</v>
      </c>
      <c r="E5920" s="11"/>
      <c r="F5920" s="9" t="s">
        <v>7</v>
      </c>
    </row>
    <row r="5921" s="1" customFormat="1" customHeight="1" spans="1:6">
      <c r="A5921" s="9" t="str">
        <f>"10200519809"</f>
        <v>10200519809</v>
      </c>
      <c r="B5921" s="10">
        <v>45.38</v>
      </c>
      <c r="C5921" s="9"/>
      <c r="D5921" s="9">
        <f t="shared" si="92"/>
        <v>45.38</v>
      </c>
      <c r="E5921" s="11"/>
      <c r="F5921" s="9"/>
    </row>
    <row r="5922" s="1" customFormat="1" customHeight="1" spans="1:6">
      <c r="A5922" s="9" t="str">
        <f>"10180519810"</f>
        <v>10180519810</v>
      </c>
      <c r="B5922" s="10">
        <v>0</v>
      </c>
      <c r="C5922" s="9"/>
      <c r="D5922" s="9">
        <f t="shared" si="92"/>
        <v>0</v>
      </c>
      <c r="E5922" s="11"/>
      <c r="F5922" s="9" t="s">
        <v>7</v>
      </c>
    </row>
    <row r="5923" s="1" customFormat="1" customHeight="1" spans="1:6">
      <c r="A5923" s="9" t="str">
        <f>"10090519811"</f>
        <v>10090519811</v>
      </c>
      <c r="B5923" s="10">
        <v>0</v>
      </c>
      <c r="C5923" s="9"/>
      <c r="D5923" s="9">
        <f t="shared" si="92"/>
        <v>0</v>
      </c>
      <c r="E5923" s="11"/>
      <c r="F5923" s="9" t="s">
        <v>7</v>
      </c>
    </row>
    <row r="5924" s="1" customFormat="1" customHeight="1" spans="1:6">
      <c r="A5924" s="9" t="str">
        <f>"10060519812"</f>
        <v>10060519812</v>
      </c>
      <c r="B5924" s="10">
        <v>0</v>
      </c>
      <c r="C5924" s="9"/>
      <c r="D5924" s="9">
        <f t="shared" si="92"/>
        <v>0</v>
      </c>
      <c r="E5924" s="11"/>
      <c r="F5924" s="9" t="s">
        <v>7</v>
      </c>
    </row>
    <row r="5925" s="1" customFormat="1" customHeight="1" spans="1:6">
      <c r="A5925" s="9" t="str">
        <f>"10360519813"</f>
        <v>10360519813</v>
      </c>
      <c r="B5925" s="10">
        <v>37.74</v>
      </c>
      <c r="C5925" s="9"/>
      <c r="D5925" s="9">
        <f t="shared" si="92"/>
        <v>37.74</v>
      </c>
      <c r="E5925" s="11"/>
      <c r="F5925" s="9"/>
    </row>
    <row r="5926" s="1" customFormat="1" customHeight="1" spans="1:6">
      <c r="A5926" s="9" t="str">
        <f>"10500519814"</f>
        <v>10500519814</v>
      </c>
      <c r="B5926" s="10">
        <v>35.1</v>
      </c>
      <c r="C5926" s="9"/>
      <c r="D5926" s="9">
        <f t="shared" si="92"/>
        <v>35.1</v>
      </c>
      <c r="E5926" s="11"/>
      <c r="F5926" s="9"/>
    </row>
    <row r="5927" s="1" customFormat="1" customHeight="1" spans="1:6">
      <c r="A5927" s="9" t="str">
        <f>"10200519815"</f>
        <v>10200519815</v>
      </c>
      <c r="B5927" s="10">
        <v>51.53</v>
      </c>
      <c r="C5927" s="9"/>
      <c r="D5927" s="9">
        <f t="shared" si="92"/>
        <v>51.53</v>
      </c>
      <c r="E5927" s="11"/>
      <c r="F5927" s="9"/>
    </row>
    <row r="5928" s="1" customFormat="1" customHeight="1" spans="1:6">
      <c r="A5928" s="9" t="str">
        <f>"10350519816"</f>
        <v>10350519816</v>
      </c>
      <c r="B5928" s="10">
        <v>0</v>
      </c>
      <c r="C5928" s="9"/>
      <c r="D5928" s="9">
        <f t="shared" si="92"/>
        <v>0</v>
      </c>
      <c r="E5928" s="11"/>
      <c r="F5928" s="9" t="s">
        <v>7</v>
      </c>
    </row>
    <row r="5929" s="1" customFormat="1" customHeight="1" spans="1:6">
      <c r="A5929" s="9" t="str">
        <f>"10420519817"</f>
        <v>10420519817</v>
      </c>
      <c r="B5929" s="10">
        <v>39.72</v>
      </c>
      <c r="C5929" s="9"/>
      <c r="D5929" s="9">
        <f t="shared" si="92"/>
        <v>39.72</v>
      </c>
      <c r="E5929" s="11"/>
      <c r="F5929" s="9"/>
    </row>
    <row r="5930" s="1" customFormat="1" customHeight="1" spans="1:6">
      <c r="A5930" s="9" t="str">
        <f>"10340519818"</f>
        <v>10340519818</v>
      </c>
      <c r="B5930" s="10">
        <v>0</v>
      </c>
      <c r="C5930" s="9"/>
      <c r="D5930" s="9">
        <f t="shared" si="92"/>
        <v>0</v>
      </c>
      <c r="E5930" s="11"/>
      <c r="F5930" s="9" t="s">
        <v>7</v>
      </c>
    </row>
    <row r="5931" s="1" customFormat="1" customHeight="1" spans="1:6">
      <c r="A5931" s="9" t="str">
        <f>"10530519819"</f>
        <v>10530519819</v>
      </c>
      <c r="B5931" s="10">
        <v>0</v>
      </c>
      <c r="C5931" s="9"/>
      <c r="D5931" s="9">
        <f t="shared" si="92"/>
        <v>0</v>
      </c>
      <c r="E5931" s="11"/>
      <c r="F5931" s="9" t="s">
        <v>7</v>
      </c>
    </row>
    <row r="5932" s="1" customFormat="1" customHeight="1" spans="1:6">
      <c r="A5932" s="9" t="str">
        <f>"10270519820"</f>
        <v>10270519820</v>
      </c>
      <c r="B5932" s="10">
        <v>47.95</v>
      </c>
      <c r="C5932" s="9"/>
      <c r="D5932" s="9">
        <f t="shared" si="92"/>
        <v>47.95</v>
      </c>
      <c r="E5932" s="11"/>
      <c r="F5932" s="9"/>
    </row>
    <row r="5933" s="1" customFormat="1" customHeight="1" spans="1:6">
      <c r="A5933" s="9" t="str">
        <f>"10180519821"</f>
        <v>10180519821</v>
      </c>
      <c r="B5933" s="10">
        <v>37.62</v>
      </c>
      <c r="C5933" s="9"/>
      <c r="D5933" s="9">
        <f t="shared" si="92"/>
        <v>37.62</v>
      </c>
      <c r="E5933" s="11"/>
      <c r="F5933" s="9"/>
    </row>
    <row r="5934" s="1" customFormat="1" customHeight="1" spans="1:6">
      <c r="A5934" s="9" t="str">
        <f>"10100519822"</f>
        <v>10100519822</v>
      </c>
      <c r="B5934" s="10">
        <v>37.67</v>
      </c>
      <c r="C5934" s="9"/>
      <c r="D5934" s="9">
        <f t="shared" si="92"/>
        <v>37.67</v>
      </c>
      <c r="E5934" s="11"/>
      <c r="F5934" s="9"/>
    </row>
    <row r="5935" s="1" customFormat="1" customHeight="1" spans="1:6">
      <c r="A5935" s="9" t="str">
        <f>"10360519823"</f>
        <v>10360519823</v>
      </c>
      <c r="B5935" s="10">
        <v>41.3</v>
      </c>
      <c r="C5935" s="9"/>
      <c r="D5935" s="9">
        <f t="shared" si="92"/>
        <v>41.3</v>
      </c>
      <c r="E5935" s="11"/>
      <c r="F5935" s="9"/>
    </row>
    <row r="5936" s="1" customFormat="1" customHeight="1" spans="1:6">
      <c r="A5936" s="9" t="str">
        <f>"10360519824"</f>
        <v>10360519824</v>
      </c>
      <c r="B5936" s="10">
        <v>43.49</v>
      </c>
      <c r="C5936" s="9"/>
      <c r="D5936" s="9">
        <f t="shared" si="92"/>
        <v>43.49</v>
      </c>
      <c r="E5936" s="11"/>
      <c r="F5936" s="9"/>
    </row>
    <row r="5937" s="1" customFormat="1" customHeight="1" spans="1:6">
      <c r="A5937" s="9" t="str">
        <f>"10360519825"</f>
        <v>10360519825</v>
      </c>
      <c r="B5937" s="10">
        <v>34.18</v>
      </c>
      <c r="C5937" s="9"/>
      <c r="D5937" s="9">
        <f t="shared" si="92"/>
        <v>34.18</v>
      </c>
      <c r="E5937" s="11"/>
      <c r="F5937" s="9"/>
    </row>
    <row r="5938" s="1" customFormat="1" customHeight="1" spans="1:6">
      <c r="A5938" s="9" t="str">
        <f>"10140519826"</f>
        <v>10140519826</v>
      </c>
      <c r="B5938" s="10">
        <v>0</v>
      </c>
      <c r="C5938" s="9"/>
      <c r="D5938" s="9">
        <f t="shared" si="92"/>
        <v>0</v>
      </c>
      <c r="E5938" s="11"/>
      <c r="F5938" s="9" t="s">
        <v>7</v>
      </c>
    </row>
    <row r="5939" s="1" customFormat="1" customHeight="1" spans="1:6">
      <c r="A5939" s="9" t="str">
        <f>"10020519827"</f>
        <v>10020519827</v>
      </c>
      <c r="B5939" s="10">
        <v>34.02</v>
      </c>
      <c r="C5939" s="9"/>
      <c r="D5939" s="9">
        <f t="shared" si="92"/>
        <v>34.02</v>
      </c>
      <c r="E5939" s="11"/>
      <c r="F5939" s="9"/>
    </row>
    <row r="5940" s="1" customFormat="1" customHeight="1" spans="1:6">
      <c r="A5940" s="9" t="str">
        <f>"10060519828"</f>
        <v>10060519828</v>
      </c>
      <c r="B5940" s="10">
        <v>43.89</v>
      </c>
      <c r="C5940" s="9"/>
      <c r="D5940" s="9">
        <f t="shared" si="92"/>
        <v>43.89</v>
      </c>
      <c r="E5940" s="11"/>
      <c r="F5940" s="9"/>
    </row>
    <row r="5941" s="1" customFormat="1" customHeight="1" spans="1:6">
      <c r="A5941" s="9" t="str">
        <f>"10040519829"</f>
        <v>10040519829</v>
      </c>
      <c r="B5941" s="10">
        <v>41.82</v>
      </c>
      <c r="C5941" s="9"/>
      <c r="D5941" s="9">
        <f t="shared" si="92"/>
        <v>41.82</v>
      </c>
      <c r="E5941" s="11"/>
      <c r="F5941" s="9"/>
    </row>
    <row r="5942" s="1" customFormat="1" customHeight="1" spans="1:6">
      <c r="A5942" s="9" t="str">
        <f>"10360519830"</f>
        <v>10360519830</v>
      </c>
      <c r="B5942" s="10">
        <v>39.39</v>
      </c>
      <c r="C5942" s="9"/>
      <c r="D5942" s="9">
        <f t="shared" si="92"/>
        <v>39.39</v>
      </c>
      <c r="E5942" s="11"/>
      <c r="F5942" s="9"/>
    </row>
    <row r="5943" s="1" customFormat="1" customHeight="1" spans="1:6">
      <c r="A5943" s="9" t="str">
        <f>"10360519901"</f>
        <v>10360519901</v>
      </c>
      <c r="B5943" s="10">
        <v>50.67</v>
      </c>
      <c r="C5943" s="9"/>
      <c r="D5943" s="9">
        <f t="shared" si="92"/>
        <v>50.67</v>
      </c>
      <c r="E5943" s="11"/>
      <c r="F5943" s="9"/>
    </row>
    <row r="5944" s="1" customFormat="1" customHeight="1" spans="1:6">
      <c r="A5944" s="9" t="str">
        <f>"10240519902"</f>
        <v>10240519902</v>
      </c>
      <c r="B5944" s="10">
        <v>37.39</v>
      </c>
      <c r="C5944" s="9"/>
      <c r="D5944" s="9">
        <f t="shared" si="92"/>
        <v>37.39</v>
      </c>
      <c r="E5944" s="11"/>
      <c r="F5944" s="9"/>
    </row>
    <row r="5945" s="1" customFormat="1" customHeight="1" spans="1:6">
      <c r="A5945" s="9" t="str">
        <f>"10240519903"</f>
        <v>10240519903</v>
      </c>
      <c r="B5945" s="10">
        <v>38.55</v>
      </c>
      <c r="C5945" s="9"/>
      <c r="D5945" s="9">
        <f t="shared" si="92"/>
        <v>38.55</v>
      </c>
      <c r="E5945" s="11"/>
      <c r="F5945" s="9"/>
    </row>
    <row r="5946" s="1" customFormat="1" customHeight="1" spans="1:6">
      <c r="A5946" s="9" t="str">
        <f>"10530519904"</f>
        <v>10530519904</v>
      </c>
      <c r="B5946" s="10">
        <v>74.36</v>
      </c>
      <c r="C5946" s="9"/>
      <c r="D5946" s="9">
        <f t="shared" si="92"/>
        <v>74.36</v>
      </c>
      <c r="E5946" s="11"/>
      <c r="F5946" s="9"/>
    </row>
    <row r="5947" s="1" customFormat="1" customHeight="1" spans="1:6">
      <c r="A5947" s="9" t="str">
        <f>"10010519905"</f>
        <v>10010519905</v>
      </c>
      <c r="B5947" s="10">
        <v>40.06</v>
      </c>
      <c r="C5947" s="9"/>
      <c r="D5947" s="9">
        <f t="shared" si="92"/>
        <v>40.06</v>
      </c>
      <c r="E5947" s="11"/>
      <c r="F5947" s="9"/>
    </row>
    <row r="5948" s="1" customFormat="1" customHeight="1" spans="1:6">
      <c r="A5948" s="9" t="str">
        <f>"10530519906"</f>
        <v>10530519906</v>
      </c>
      <c r="B5948" s="10">
        <v>40.39</v>
      </c>
      <c r="C5948" s="9"/>
      <c r="D5948" s="9">
        <f t="shared" si="92"/>
        <v>40.39</v>
      </c>
      <c r="E5948" s="11"/>
      <c r="F5948" s="9"/>
    </row>
    <row r="5949" s="1" customFormat="1" customHeight="1" spans="1:6">
      <c r="A5949" s="9" t="str">
        <f>"10300519907"</f>
        <v>10300519907</v>
      </c>
      <c r="B5949" s="10">
        <v>0</v>
      </c>
      <c r="C5949" s="9"/>
      <c r="D5949" s="9">
        <f t="shared" si="92"/>
        <v>0</v>
      </c>
      <c r="E5949" s="11"/>
      <c r="F5949" s="9" t="s">
        <v>7</v>
      </c>
    </row>
    <row r="5950" s="1" customFormat="1" customHeight="1" spans="1:6">
      <c r="A5950" s="9" t="str">
        <f>"10360519908"</f>
        <v>10360519908</v>
      </c>
      <c r="B5950" s="10">
        <v>0</v>
      </c>
      <c r="C5950" s="9"/>
      <c r="D5950" s="9">
        <f t="shared" si="92"/>
        <v>0</v>
      </c>
      <c r="E5950" s="11"/>
      <c r="F5950" s="9" t="s">
        <v>7</v>
      </c>
    </row>
    <row r="5951" s="1" customFormat="1" customHeight="1" spans="1:6">
      <c r="A5951" s="9" t="str">
        <f>"10100519909"</f>
        <v>10100519909</v>
      </c>
      <c r="B5951" s="10">
        <v>0</v>
      </c>
      <c r="C5951" s="9"/>
      <c r="D5951" s="9">
        <f t="shared" si="92"/>
        <v>0</v>
      </c>
      <c r="E5951" s="11"/>
      <c r="F5951" s="9" t="s">
        <v>7</v>
      </c>
    </row>
    <row r="5952" s="1" customFormat="1" customHeight="1" spans="1:6">
      <c r="A5952" s="9" t="str">
        <f>"10510519910"</f>
        <v>10510519910</v>
      </c>
      <c r="B5952" s="10">
        <v>0</v>
      </c>
      <c r="C5952" s="9"/>
      <c r="D5952" s="9">
        <f t="shared" si="92"/>
        <v>0</v>
      </c>
      <c r="E5952" s="11"/>
      <c r="F5952" s="9" t="s">
        <v>7</v>
      </c>
    </row>
    <row r="5953" s="1" customFormat="1" customHeight="1" spans="1:6">
      <c r="A5953" s="9" t="str">
        <f>"10530519911"</f>
        <v>10530519911</v>
      </c>
      <c r="B5953" s="10">
        <v>45.95</v>
      </c>
      <c r="C5953" s="9"/>
      <c r="D5953" s="9">
        <f t="shared" si="92"/>
        <v>45.95</v>
      </c>
      <c r="E5953" s="11"/>
      <c r="F5953" s="9"/>
    </row>
    <row r="5954" s="1" customFormat="1" customHeight="1" spans="1:6">
      <c r="A5954" s="9" t="str">
        <f>"10440519912"</f>
        <v>10440519912</v>
      </c>
      <c r="B5954" s="10">
        <v>0</v>
      </c>
      <c r="C5954" s="9"/>
      <c r="D5954" s="9">
        <f t="shared" si="92"/>
        <v>0</v>
      </c>
      <c r="E5954" s="11"/>
      <c r="F5954" s="9" t="s">
        <v>7</v>
      </c>
    </row>
    <row r="5955" s="1" customFormat="1" customHeight="1" spans="1:6">
      <c r="A5955" s="9" t="str">
        <f>"10240519913"</f>
        <v>10240519913</v>
      </c>
      <c r="B5955" s="10">
        <v>39.63</v>
      </c>
      <c r="C5955" s="9"/>
      <c r="D5955" s="9">
        <f t="shared" ref="D5955:D6018" si="93">SUM(B5955:C5955)</f>
        <v>39.63</v>
      </c>
      <c r="E5955" s="11"/>
      <c r="F5955" s="9"/>
    </row>
    <row r="5956" s="1" customFormat="1" customHeight="1" spans="1:6">
      <c r="A5956" s="9" t="str">
        <f>"10210519914"</f>
        <v>10210519914</v>
      </c>
      <c r="B5956" s="10">
        <v>0</v>
      </c>
      <c r="C5956" s="9"/>
      <c r="D5956" s="9">
        <f t="shared" si="93"/>
        <v>0</v>
      </c>
      <c r="E5956" s="11"/>
      <c r="F5956" s="9" t="s">
        <v>7</v>
      </c>
    </row>
    <row r="5957" s="1" customFormat="1" customHeight="1" spans="1:6">
      <c r="A5957" s="9" t="str">
        <f>"10500519915"</f>
        <v>10500519915</v>
      </c>
      <c r="B5957" s="10">
        <v>29.04</v>
      </c>
      <c r="C5957" s="9"/>
      <c r="D5957" s="9">
        <f t="shared" si="93"/>
        <v>29.04</v>
      </c>
      <c r="E5957" s="11"/>
      <c r="F5957" s="9"/>
    </row>
    <row r="5958" s="1" customFormat="1" customHeight="1" spans="1:6">
      <c r="A5958" s="9" t="str">
        <f>"10330519916"</f>
        <v>10330519916</v>
      </c>
      <c r="B5958" s="10">
        <v>38.43</v>
      </c>
      <c r="C5958" s="9"/>
      <c r="D5958" s="9">
        <f t="shared" si="93"/>
        <v>38.43</v>
      </c>
      <c r="E5958" s="11"/>
      <c r="F5958" s="9"/>
    </row>
    <row r="5959" s="1" customFormat="1" customHeight="1" spans="1:6">
      <c r="A5959" s="9" t="str">
        <f>"10240519917"</f>
        <v>10240519917</v>
      </c>
      <c r="B5959" s="10">
        <v>0</v>
      </c>
      <c r="C5959" s="9"/>
      <c r="D5959" s="9">
        <f t="shared" si="93"/>
        <v>0</v>
      </c>
      <c r="E5959" s="11"/>
      <c r="F5959" s="9" t="s">
        <v>7</v>
      </c>
    </row>
    <row r="5960" s="1" customFormat="1" customHeight="1" spans="1:6">
      <c r="A5960" s="9" t="str">
        <f>"10120519918"</f>
        <v>10120519918</v>
      </c>
      <c r="B5960" s="10">
        <v>29.82</v>
      </c>
      <c r="C5960" s="9"/>
      <c r="D5960" s="9">
        <f t="shared" si="93"/>
        <v>29.82</v>
      </c>
      <c r="E5960" s="11"/>
      <c r="F5960" s="9"/>
    </row>
    <row r="5961" s="1" customFormat="1" customHeight="1" spans="1:6">
      <c r="A5961" s="9" t="str">
        <f>"10020519919"</f>
        <v>10020519919</v>
      </c>
      <c r="B5961" s="10">
        <v>49.68</v>
      </c>
      <c r="C5961" s="9"/>
      <c r="D5961" s="9">
        <f t="shared" si="93"/>
        <v>49.68</v>
      </c>
      <c r="E5961" s="11"/>
      <c r="F5961" s="9"/>
    </row>
    <row r="5962" s="1" customFormat="1" customHeight="1" spans="1:6">
      <c r="A5962" s="9" t="str">
        <f>"10300519920"</f>
        <v>10300519920</v>
      </c>
      <c r="B5962" s="10">
        <v>35.58</v>
      </c>
      <c r="C5962" s="9"/>
      <c r="D5962" s="9">
        <f t="shared" si="93"/>
        <v>35.58</v>
      </c>
      <c r="E5962" s="11"/>
      <c r="F5962" s="9"/>
    </row>
    <row r="5963" s="1" customFormat="1" customHeight="1" spans="1:6">
      <c r="A5963" s="9" t="str">
        <f>"10280519921"</f>
        <v>10280519921</v>
      </c>
      <c r="B5963" s="10">
        <v>38.74</v>
      </c>
      <c r="C5963" s="9"/>
      <c r="D5963" s="9">
        <f t="shared" si="93"/>
        <v>38.74</v>
      </c>
      <c r="E5963" s="11"/>
      <c r="F5963" s="9"/>
    </row>
    <row r="5964" s="1" customFormat="1" customHeight="1" spans="1:6">
      <c r="A5964" s="9" t="str">
        <f>"10370519922"</f>
        <v>10370519922</v>
      </c>
      <c r="B5964" s="10">
        <v>44.34</v>
      </c>
      <c r="C5964" s="9"/>
      <c r="D5964" s="9">
        <f t="shared" si="93"/>
        <v>44.34</v>
      </c>
      <c r="E5964" s="11"/>
      <c r="F5964" s="9"/>
    </row>
    <row r="5965" s="1" customFormat="1" customHeight="1" spans="1:6">
      <c r="A5965" s="9" t="str">
        <f>"10530519923"</f>
        <v>10530519923</v>
      </c>
      <c r="B5965" s="10">
        <v>39.72</v>
      </c>
      <c r="C5965" s="9"/>
      <c r="D5965" s="9">
        <f t="shared" si="93"/>
        <v>39.72</v>
      </c>
      <c r="E5965" s="11"/>
      <c r="F5965" s="9"/>
    </row>
    <row r="5966" s="1" customFormat="1" customHeight="1" spans="1:6">
      <c r="A5966" s="9" t="str">
        <f>"10210519924"</f>
        <v>10210519924</v>
      </c>
      <c r="B5966" s="10">
        <v>35.41</v>
      </c>
      <c r="C5966" s="9"/>
      <c r="D5966" s="9">
        <f t="shared" si="93"/>
        <v>35.41</v>
      </c>
      <c r="E5966" s="11"/>
      <c r="F5966" s="9"/>
    </row>
    <row r="5967" s="1" customFormat="1" customHeight="1" spans="1:6">
      <c r="A5967" s="9" t="str">
        <f>"10010519925"</f>
        <v>10010519925</v>
      </c>
      <c r="B5967" s="10">
        <v>49.68</v>
      </c>
      <c r="C5967" s="9"/>
      <c r="D5967" s="9">
        <f t="shared" si="93"/>
        <v>49.68</v>
      </c>
      <c r="E5967" s="11"/>
      <c r="F5967" s="9"/>
    </row>
    <row r="5968" s="1" customFormat="1" customHeight="1" spans="1:6">
      <c r="A5968" s="9" t="str">
        <f>"10330519926"</f>
        <v>10330519926</v>
      </c>
      <c r="B5968" s="10">
        <v>50.62</v>
      </c>
      <c r="C5968" s="9"/>
      <c r="D5968" s="9">
        <f t="shared" si="93"/>
        <v>50.62</v>
      </c>
      <c r="E5968" s="11"/>
      <c r="F5968" s="9"/>
    </row>
    <row r="5969" s="1" customFormat="1" customHeight="1" spans="1:6">
      <c r="A5969" s="9" t="str">
        <f>"10060519927"</f>
        <v>10060519927</v>
      </c>
      <c r="B5969" s="10">
        <v>27.82</v>
      </c>
      <c r="C5969" s="9"/>
      <c r="D5969" s="9">
        <f t="shared" si="93"/>
        <v>27.82</v>
      </c>
      <c r="E5969" s="11"/>
      <c r="F5969" s="9"/>
    </row>
    <row r="5970" s="1" customFormat="1" customHeight="1" spans="1:6">
      <c r="A5970" s="9" t="str">
        <f>"10330519928"</f>
        <v>10330519928</v>
      </c>
      <c r="B5970" s="10">
        <v>0</v>
      </c>
      <c r="C5970" s="9"/>
      <c r="D5970" s="9">
        <f t="shared" si="93"/>
        <v>0</v>
      </c>
      <c r="E5970" s="11"/>
      <c r="F5970" s="9" t="s">
        <v>7</v>
      </c>
    </row>
    <row r="5971" s="1" customFormat="1" customHeight="1" spans="1:6">
      <c r="A5971" s="9" t="str">
        <f>"10300519929"</f>
        <v>10300519929</v>
      </c>
      <c r="B5971" s="10">
        <v>37.71</v>
      </c>
      <c r="C5971" s="9"/>
      <c r="D5971" s="9">
        <f t="shared" si="93"/>
        <v>37.71</v>
      </c>
      <c r="E5971" s="11"/>
      <c r="F5971" s="9"/>
    </row>
    <row r="5972" s="1" customFormat="1" customHeight="1" spans="1:6">
      <c r="A5972" s="9" t="str">
        <f>"10290519930"</f>
        <v>10290519930</v>
      </c>
      <c r="B5972" s="10">
        <v>48.27</v>
      </c>
      <c r="C5972" s="9"/>
      <c r="D5972" s="9">
        <f t="shared" si="93"/>
        <v>48.27</v>
      </c>
      <c r="E5972" s="11"/>
      <c r="F5972" s="9"/>
    </row>
    <row r="5973" s="1" customFormat="1" customHeight="1" spans="1:6">
      <c r="A5973" s="9" t="str">
        <f>"10360520001"</f>
        <v>10360520001</v>
      </c>
      <c r="B5973" s="10">
        <v>46.78</v>
      </c>
      <c r="C5973" s="9"/>
      <c r="D5973" s="9">
        <f t="shared" si="93"/>
        <v>46.78</v>
      </c>
      <c r="E5973" s="11"/>
      <c r="F5973" s="9"/>
    </row>
    <row r="5974" s="1" customFormat="1" customHeight="1" spans="1:6">
      <c r="A5974" s="9" t="str">
        <f>"10330520002"</f>
        <v>10330520002</v>
      </c>
      <c r="B5974" s="10">
        <v>37.36</v>
      </c>
      <c r="C5974" s="9"/>
      <c r="D5974" s="9">
        <f t="shared" si="93"/>
        <v>37.36</v>
      </c>
      <c r="E5974" s="11"/>
      <c r="F5974" s="9"/>
    </row>
    <row r="5975" s="1" customFormat="1" customHeight="1" spans="1:6">
      <c r="A5975" s="9" t="str">
        <f>"10360520003"</f>
        <v>10360520003</v>
      </c>
      <c r="B5975" s="10">
        <v>43.24</v>
      </c>
      <c r="C5975" s="9"/>
      <c r="D5975" s="9">
        <f t="shared" si="93"/>
        <v>43.24</v>
      </c>
      <c r="E5975" s="11"/>
      <c r="F5975" s="9"/>
    </row>
    <row r="5976" s="1" customFormat="1" customHeight="1" spans="1:6">
      <c r="A5976" s="9" t="str">
        <f>"10080520004"</f>
        <v>10080520004</v>
      </c>
      <c r="B5976" s="10">
        <v>42.13</v>
      </c>
      <c r="C5976" s="9"/>
      <c r="D5976" s="9">
        <f t="shared" si="93"/>
        <v>42.13</v>
      </c>
      <c r="E5976" s="11"/>
      <c r="F5976" s="9"/>
    </row>
    <row r="5977" s="1" customFormat="1" customHeight="1" spans="1:6">
      <c r="A5977" s="9" t="str">
        <f>"10360520005"</f>
        <v>10360520005</v>
      </c>
      <c r="B5977" s="10">
        <v>37.95</v>
      </c>
      <c r="C5977" s="9"/>
      <c r="D5977" s="9">
        <f t="shared" si="93"/>
        <v>37.95</v>
      </c>
      <c r="E5977" s="11"/>
      <c r="F5977" s="9"/>
    </row>
    <row r="5978" s="1" customFormat="1" customHeight="1" spans="1:6">
      <c r="A5978" s="9" t="str">
        <f>"10360520006"</f>
        <v>10360520006</v>
      </c>
      <c r="B5978" s="10">
        <v>40.41</v>
      </c>
      <c r="C5978" s="9"/>
      <c r="D5978" s="9">
        <f t="shared" si="93"/>
        <v>40.41</v>
      </c>
      <c r="E5978" s="11"/>
      <c r="F5978" s="9"/>
    </row>
    <row r="5979" s="1" customFormat="1" customHeight="1" spans="1:6">
      <c r="A5979" s="9" t="str">
        <f>"10470520007"</f>
        <v>10470520007</v>
      </c>
      <c r="B5979" s="10">
        <v>39.75</v>
      </c>
      <c r="C5979" s="9"/>
      <c r="D5979" s="9">
        <f t="shared" si="93"/>
        <v>39.75</v>
      </c>
      <c r="E5979" s="11"/>
      <c r="F5979" s="9"/>
    </row>
    <row r="5980" s="1" customFormat="1" customHeight="1" spans="1:6">
      <c r="A5980" s="9" t="str">
        <f>"10330520008"</f>
        <v>10330520008</v>
      </c>
      <c r="B5980" s="10">
        <v>41.96</v>
      </c>
      <c r="C5980" s="9"/>
      <c r="D5980" s="9">
        <f t="shared" si="93"/>
        <v>41.96</v>
      </c>
      <c r="E5980" s="11"/>
      <c r="F5980" s="9"/>
    </row>
    <row r="5981" s="1" customFormat="1" customHeight="1" spans="1:6">
      <c r="A5981" s="9" t="str">
        <f>"10140520009"</f>
        <v>10140520009</v>
      </c>
      <c r="B5981" s="10">
        <v>0</v>
      </c>
      <c r="C5981" s="9"/>
      <c r="D5981" s="9">
        <f t="shared" si="93"/>
        <v>0</v>
      </c>
      <c r="E5981" s="11"/>
      <c r="F5981" s="9" t="s">
        <v>7</v>
      </c>
    </row>
    <row r="5982" s="1" customFormat="1" customHeight="1" spans="1:6">
      <c r="A5982" s="9" t="str">
        <f>"10300520010"</f>
        <v>10300520010</v>
      </c>
      <c r="B5982" s="10">
        <v>31.35</v>
      </c>
      <c r="C5982" s="9"/>
      <c r="D5982" s="9">
        <f t="shared" si="93"/>
        <v>31.35</v>
      </c>
      <c r="E5982" s="11"/>
      <c r="F5982" s="9"/>
    </row>
    <row r="5983" s="1" customFormat="1" customHeight="1" spans="1:6">
      <c r="A5983" s="9" t="str">
        <f>"10510520011"</f>
        <v>10510520011</v>
      </c>
      <c r="B5983" s="10">
        <v>38.7</v>
      </c>
      <c r="C5983" s="9"/>
      <c r="D5983" s="9">
        <f t="shared" si="93"/>
        <v>38.7</v>
      </c>
      <c r="E5983" s="11"/>
      <c r="F5983" s="9"/>
    </row>
    <row r="5984" s="1" customFormat="1" customHeight="1" spans="1:6">
      <c r="A5984" s="9" t="str">
        <f>"10020520012"</f>
        <v>10020520012</v>
      </c>
      <c r="B5984" s="10">
        <v>0</v>
      </c>
      <c r="C5984" s="9"/>
      <c r="D5984" s="9">
        <f t="shared" si="93"/>
        <v>0</v>
      </c>
      <c r="E5984" s="11"/>
      <c r="F5984" s="9" t="s">
        <v>7</v>
      </c>
    </row>
    <row r="5985" s="1" customFormat="1" customHeight="1" spans="1:6">
      <c r="A5985" s="9" t="str">
        <f>"10320520013"</f>
        <v>10320520013</v>
      </c>
      <c r="B5985" s="10">
        <v>0</v>
      </c>
      <c r="C5985" s="9"/>
      <c r="D5985" s="9">
        <f t="shared" si="93"/>
        <v>0</v>
      </c>
      <c r="E5985" s="11"/>
      <c r="F5985" s="9" t="s">
        <v>7</v>
      </c>
    </row>
    <row r="5986" s="1" customFormat="1" customHeight="1" spans="1:6">
      <c r="A5986" s="9" t="str">
        <f>"10380520014"</f>
        <v>10380520014</v>
      </c>
      <c r="B5986" s="10">
        <v>33.28</v>
      </c>
      <c r="C5986" s="9"/>
      <c r="D5986" s="9">
        <f t="shared" si="93"/>
        <v>33.28</v>
      </c>
      <c r="E5986" s="11"/>
      <c r="F5986" s="9"/>
    </row>
    <row r="5987" s="1" customFormat="1" customHeight="1" spans="1:6">
      <c r="A5987" s="9" t="str">
        <f>"10360520015"</f>
        <v>10360520015</v>
      </c>
      <c r="B5987" s="10">
        <v>0</v>
      </c>
      <c r="C5987" s="9"/>
      <c r="D5987" s="9">
        <f t="shared" si="93"/>
        <v>0</v>
      </c>
      <c r="E5987" s="11"/>
      <c r="F5987" s="9" t="s">
        <v>7</v>
      </c>
    </row>
    <row r="5988" s="1" customFormat="1" customHeight="1" spans="1:6">
      <c r="A5988" s="9" t="str">
        <f>"10180520016"</f>
        <v>10180520016</v>
      </c>
      <c r="B5988" s="10">
        <v>0</v>
      </c>
      <c r="C5988" s="9"/>
      <c r="D5988" s="9">
        <f t="shared" si="93"/>
        <v>0</v>
      </c>
      <c r="E5988" s="11"/>
      <c r="F5988" s="9" t="s">
        <v>7</v>
      </c>
    </row>
    <row r="5989" s="1" customFormat="1" customHeight="1" spans="1:6">
      <c r="A5989" s="9" t="str">
        <f>"10440520017"</f>
        <v>10440520017</v>
      </c>
      <c r="B5989" s="10">
        <v>0</v>
      </c>
      <c r="C5989" s="9"/>
      <c r="D5989" s="9">
        <f t="shared" si="93"/>
        <v>0</v>
      </c>
      <c r="E5989" s="11"/>
      <c r="F5989" s="9" t="s">
        <v>7</v>
      </c>
    </row>
    <row r="5990" s="1" customFormat="1" customHeight="1" spans="1:6">
      <c r="A5990" s="9" t="str">
        <f>"10200520018"</f>
        <v>10200520018</v>
      </c>
      <c r="B5990" s="10">
        <v>42.98</v>
      </c>
      <c r="C5990" s="9"/>
      <c r="D5990" s="9">
        <f t="shared" si="93"/>
        <v>42.98</v>
      </c>
      <c r="E5990" s="11"/>
      <c r="F5990" s="9"/>
    </row>
    <row r="5991" s="1" customFormat="1" customHeight="1" spans="1:6">
      <c r="A5991" s="9" t="str">
        <f>"10530520019"</f>
        <v>10530520019</v>
      </c>
      <c r="B5991" s="10">
        <v>0</v>
      </c>
      <c r="C5991" s="9"/>
      <c r="D5991" s="9">
        <f t="shared" si="93"/>
        <v>0</v>
      </c>
      <c r="E5991" s="11"/>
      <c r="F5991" s="9" t="s">
        <v>7</v>
      </c>
    </row>
    <row r="5992" s="1" customFormat="1" customHeight="1" spans="1:6">
      <c r="A5992" s="9" t="str">
        <f>"10110520020"</f>
        <v>10110520020</v>
      </c>
      <c r="B5992" s="10">
        <v>35.96</v>
      </c>
      <c r="C5992" s="9"/>
      <c r="D5992" s="9">
        <f t="shared" si="93"/>
        <v>35.96</v>
      </c>
      <c r="E5992" s="11"/>
      <c r="F5992" s="9"/>
    </row>
    <row r="5993" s="1" customFormat="1" customHeight="1" spans="1:6">
      <c r="A5993" s="9" t="str">
        <f>"10530520021"</f>
        <v>10530520021</v>
      </c>
      <c r="B5993" s="10">
        <v>0</v>
      </c>
      <c r="C5993" s="9"/>
      <c r="D5993" s="9">
        <f t="shared" si="93"/>
        <v>0</v>
      </c>
      <c r="E5993" s="11"/>
      <c r="F5993" s="9" t="s">
        <v>7</v>
      </c>
    </row>
    <row r="5994" s="1" customFormat="1" customHeight="1" spans="1:6">
      <c r="A5994" s="9" t="str">
        <f>"10300520022"</f>
        <v>10300520022</v>
      </c>
      <c r="B5994" s="10">
        <v>42.22</v>
      </c>
      <c r="C5994" s="9"/>
      <c r="D5994" s="9">
        <f t="shared" si="93"/>
        <v>42.22</v>
      </c>
      <c r="E5994" s="11"/>
      <c r="F5994" s="9"/>
    </row>
    <row r="5995" s="1" customFormat="1" customHeight="1" spans="1:6">
      <c r="A5995" s="9" t="str">
        <f>"10140520023"</f>
        <v>10140520023</v>
      </c>
      <c r="B5995" s="10">
        <v>54.59</v>
      </c>
      <c r="C5995" s="9"/>
      <c r="D5995" s="9">
        <f t="shared" si="93"/>
        <v>54.59</v>
      </c>
      <c r="E5995" s="11"/>
      <c r="F5995" s="9"/>
    </row>
    <row r="5996" s="1" customFormat="1" customHeight="1" spans="1:6">
      <c r="A5996" s="9" t="str">
        <f>"10510520024"</f>
        <v>10510520024</v>
      </c>
      <c r="B5996" s="10">
        <v>32.78</v>
      </c>
      <c r="C5996" s="9"/>
      <c r="D5996" s="9">
        <f t="shared" si="93"/>
        <v>32.78</v>
      </c>
      <c r="E5996" s="11"/>
      <c r="F5996" s="9"/>
    </row>
    <row r="5997" s="1" customFormat="1" customHeight="1" spans="1:6">
      <c r="A5997" s="9" t="str">
        <f>"10070520025"</f>
        <v>10070520025</v>
      </c>
      <c r="B5997" s="10">
        <v>32.97</v>
      </c>
      <c r="C5997" s="9"/>
      <c r="D5997" s="9">
        <f t="shared" si="93"/>
        <v>32.97</v>
      </c>
      <c r="E5997" s="11"/>
      <c r="F5997" s="9"/>
    </row>
    <row r="5998" s="1" customFormat="1" customHeight="1" spans="1:6">
      <c r="A5998" s="9" t="str">
        <f>"10360520026"</f>
        <v>10360520026</v>
      </c>
      <c r="B5998" s="10">
        <v>47.46</v>
      </c>
      <c r="C5998" s="9"/>
      <c r="D5998" s="9">
        <f t="shared" si="93"/>
        <v>47.46</v>
      </c>
      <c r="E5998" s="11"/>
      <c r="F5998" s="9"/>
    </row>
    <row r="5999" s="1" customFormat="1" customHeight="1" spans="1:6">
      <c r="A5999" s="9" t="str">
        <f>"10110520027"</f>
        <v>10110520027</v>
      </c>
      <c r="B5999" s="10">
        <v>49.88</v>
      </c>
      <c r="C5999" s="9"/>
      <c r="D5999" s="9">
        <f t="shared" si="93"/>
        <v>49.88</v>
      </c>
      <c r="E5999" s="11"/>
      <c r="F5999" s="9"/>
    </row>
    <row r="6000" s="1" customFormat="1" customHeight="1" spans="1:6">
      <c r="A6000" s="9" t="str">
        <f>"10210520028"</f>
        <v>10210520028</v>
      </c>
      <c r="B6000" s="10">
        <v>42.31</v>
      </c>
      <c r="C6000" s="9"/>
      <c r="D6000" s="9">
        <f t="shared" si="93"/>
        <v>42.31</v>
      </c>
      <c r="E6000" s="11"/>
      <c r="F6000" s="9"/>
    </row>
    <row r="6001" s="1" customFormat="1" customHeight="1" spans="1:6">
      <c r="A6001" s="9" t="str">
        <f>"10440520029"</f>
        <v>10440520029</v>
      </c>
      <c r="B6001" s="10">
        <v>36.52</v>
      </c>
      <c r="C6001" s="9"/>
      <c r="D6001" s="9">
        <f t="shared" si="93"/>
        <v>36.52</v>
      </c>
      <c r="E6001" s="11"/>
      <c r="F6001" s="9"/>
    </row>
    <row r="6002" s="1" customFormat="1" customHeight="1" spans="1:6">
      <c r="A6002" s="9" t="str">
        <f>"10110520030"</f>
        <v>10110520030</v>
      </c>
      <c r="B6002" s="10">
        <v>39.43</v>
      </c>
      <c r="C6002" s="9"/>
      <c r="D6002" s="9">
        <f t="shared" si="93"/>
        <v>39.43</v>
      </c>
      <c r="E6002" s="11"/>
      <c r="F6002" s="9"/>
    </row>
    <row r="6003" s="1" customFormat="1" customHeight="1" spans="1:6">
      <c r="A6003" s="9" t="str">
        <f>"10170520101"</f>
        <v>10170520101</v>
      </c>
      <c r="B6003" s="10">
        <v>43</v>
      </c>
      <c r="C6003" s="9"/>
      <c r="D6003" s="9">
        <f t="shared" si="93"/>
        <v>43</v>
      </c>
      <c r="E6003" s="11"/>
      <c r="F6003" s="9"/>
    </row>
    <row r="6004" s="1" customFormat="1" customHeight="1" spans="1:6">
      <c r="A6004" s="9" t="str">
        <f>"10430520102"</f>
        <v>10430520102</v>
      </c>
      <c r="B6004" s="10">
        <v>34.15</v>
      </c>
      <c r="C6004" s="9"/>
      <c r="D6004" s="9">
        <f t="shared" si="93"/>
        <v>34.15</v>
      </c>
      <c r="E6004" s="11"/>
      <c r="F6004" s="9"/>
    </row>
    <row r="6005" s="1" customFormat="1" customHeight="1" spans="1:6">
      <c r="A6005" s="9" t="str">
        <f>"10460520103"</f>
        <v>10460520103</v>
      </c>
      <c r="B6005" s="10">
        <v>49.91</v>
      </c>
      <c r="C6005" s="9"/>
      <c r="D6005" s="9">
        <f t="shared" si="93"/>
        <v>49.91</v>
      </c>
      <c r="E6005" s="11"/>
      <c r="F6005" s="9"/>
    </row>
    <row r="6006" s="1" customFormat="1" customHeight="1" spans="1:6">
      <c r="A6006" s="9" t="str">
        <f>"10360520104"</f>
        <v>10360520104</v>
      </c>
      <c r="B6006" s="10">
        <v>0</v>
      </c>
      <c r="C6006" s="9"/>
      <c r="D6006" s="9">
        <f t="shared" si="93"/>
        <v>0</v>
      </c>
      <c r="E6006" s="11"/>
      <c r="F6006" s="9" t="s">
        <v>7</v>
      </c>
    </row>
    <row r="6007" s="1" customFormat="1" customHeight="1" spans="1:6">
      <c r="A6007" s="9" t="str">
        <f>"10060520105"</f>
        <v>10060520105</v>
      </c>
      <c r="B6007" s="10">
        <v>37.19</v>
      </c>
      <c r="C6007" s="9"/>
      <c r="D6007" s="9">
        <f t="shared" si="93"/>
        <v>37.19</v>
      </c>
      <c r="E6007" s="11"/>
      <c r="F6007" s="9"/>
    </row>
    <row r="6008" s="1" customFormat="1" customHeight="1" spans="1:6">
      <c r="A6008" s="9" t="str">
        <f>"10360520106"</f>
        <v>10360520106</v>
      </c>
      <c r="B6008" s="10">
        <v>36.72</v>
      </c>
      <c r="C6008" s="9"/>
      <c r="D6008" s="9">
        <f t="shared" si="93"/>
        <v>36.72</v>
      </c>
      <c r="E6008" s="11"/>
      <c r="F6008" s="9"/>
    </row>
    <row r="6009" s="1" customFormat="1" customHeight="1" spans="1:6">
      <c r="A6009" s="9" t="str">
        <f>"10010520107"</f>
        <v>10010520107</v>
      </c>
      <c r="B6009" s="10">
        <v>50.9</v>
      </c>
      <c r="C6009" s="9"/>
      <c r="D6009" s="9">
        <f t="shared" si="93"/>
        <v>50.9</v>
      </c>
      <c r="E6009" s="11"/>
      <c r="F6009" s="9"/>
    </row>
    <row r="6010" s="1" customFormat="1" customHeight="1" spans="1:6">
      <c r="A6010" s="9" t="str">
        <f>"10360520108"</f>
        <v>10360520108</v>
      </c>
      <c r="B6010" s="10">
        <v>0</v>
      </c>
      <c r="C6010" s="9"/>
      <c r="D6010" s="9">
        <f t="shared" si="93"/>
        <v>0</v>
      </c>
      <c r="E6010" s="11"/>
      <c r="F6010" s="9" t="s">
        <v>7</v>
      </c>
    </row>
    <row r="6011" s="1" customFormat="1" customHeight="1" spans="1:6">
      <c r="A6011" s="9" t="str">
        <f>"10080520109"</f>
        <v>10080520109</v>
      </c>
      <c r="B6011" s="10">
        <v>39.77</v>
      </c>
      <c r="C6011" s="9"/>
      <c r="D6011" s="9">
        <f t="shared" si="93"/>
        <v>39.77</v>
      </c>
      <c r="E6011" s="11"/>
      <c r="F6011" s="9"/>
    </row>
    <row r="6012" s="1" customFormat="1" customHeight="1" spans="1:6">
      <c r="A6012" s="9" t="str">
        <f>"10290520110"</f>
        <v>10290520110</v>
      </c>
      <c r="B6012" s="10">
        <v>50.03</v>
      </c>
      <c r="C6012" s="9"/>
      <c r="D6012" s="9">
        <f t="shared" si="93"/>
        <v>50.03</v>
      </c>
      <c r="E6012" s="11"/>
      <c r="F6012" s="9"/>
    </row>
    <row r="6013" s="1" customFormat="1" customHeight="1" spans="1:6">
      <c r="A6013" s="9" t="str">
        <f>"10190520111"</f>
        <v>10190520111</v>
      </c>
      <c r="B6013" s="10">
        <v>0</v>
      </c>
      <c r="C6013" s="9"/>
      <c r="D6013" s="9">
        <f t="shared" si="93"/>
        <v>0</v>
      </c>
      <c r="E6013" s="11"/>
      <c r="F6013" s="9" t="s">
        <v>7</v>
      </c>
    </row>
    <row r="6014" s="1" customFormat="1" customHeight="1" spans="1:6">
      <c r="A6014" s="9" t="str">
        <f>"10140520112"</f>
        <v>10140520112</v>
      </c>
      <c r="B6014" s="10">
        <v>48.62</v>
      </c>
      <c r="C6014" s="9"/>
      <c r="D6014" s="9">
        <f t="shared" si="93"/>
        <v>48.62</v>
      </c>
      <c r="E6014" s="11"/>
      <c r="F6014" s="9"/>
    </row>
    <row r="6015" s="1" customFormat="1" customHeight="1" spans="1:6">
      <c r="A6015" s="9" t="str">
        <f>"10530520113"</f>
        <v>10530520113</v>
      </c>
      <c r="B6015" s="10">
        <v>0</v>
      </c>
      <c r="C6015" s="9"/>
      <c r="D6015" s="9">
        <f t="shared" si="93"/>
        <v>0</v>
      </c>
      <c r="E6015" s="11"/>
      <c r="F6015" s="9" t="s">
        <v>7</v>
      </c>
    </row>
    <row r="6016" s="1" customFormat="1" customHeight="1" spans="1:6">
      <c r="A6016" s="9" t="str">
        <f>"10040520114"</f>
        <v>10040520114</v>
      </c>
      <c r="B6016" s="10">
        <v>39.16</v>
      </c>
      <c r="C6016" s="9"/>
      <c r="D6016" s="9">
        <f t="shared" si="93"/>
        <v>39.16</v>
      </c>
      <c r="E6016" s="11"/>
      <c r="F6016" s="9"/>
    </row>
    <row r="6017" s="1" customFormat="1" customHeight="1" spans="1:6">
      <c r="A6017" s="9" t="str">
        <f>"10510520115"</f>
        <v>10510520115</v>
      </c>
      <c r="B6017" s="10">
        <v>42.09</v>
      </c>
      <c r="C6017" s="9"/>
      <c r="D6017" s="9">
        <f t="shared" si="93"/>
        <v>42.09</v>
      </c>
      <c r="E6017" s="11"/>
      <c r="F6017" s="9"/>
    </row>
    <row r="6018" s="1" customFormat="1" customHeight="1" spans="1:6">
      <c r="A6018" s="9" t="str">
        <f>"10010520116"</f>
        <v>10010520116</v>
      </c>
      <c r="B6018" s="10">
        <v>42.82</v>
      </c>
      <c r="C6018" s="9"/>
      <c r="D6018" s="9">
        <f t="shared" si="93"/>
        <v>42.82</v>
      </c>
      <c r="E6018" s="11"/>
      <c r="F6018" s="9"/>
    </row>
    <row r="6019" s="1" customFormat="1" customHeight="1" spans="1:6">
      <c r="A6019" s="9" t="str">
        <f>"10380520117"</f>
        <v>10380520117</v>
      </c>
      <c r="B6019" s="10">
        <v>0</v>
      </c>
      <c r="C6019" s="9"/>
      <c r="D6019" s="9">
        <f t="shared" ref="D6019:D6082" si="94">SUM(B6019:C6019)</f>
        <v>0</v>
      </c>
      <c r="E6019" s="11"/>
      <c r="F6019" s="9" t="s">
        <v>7</v>
      </c>
    </row>
    <row r="6020" s="1" customFormat="1" customHeight="1" spans="1:6">
      <c r="A6020" s="9" t="str">
        <f>"10360520118"</f>
        <v>10360520118</v>
      </c>
      <c r="B6020" s="10">
        <v>0</v>
      </c>
      <c r="C6020" s="9"/>
      <c r="D6020" s="9">
        <f t="shared" si="94"/>
        <v>0</v>
      </c>
      <c r="E6020" s="11"/>
      <c r="F6020" s="9" t="s">
        <v>7</v>
      </c>
    </row>
    <row r="6021" s="1" customFormat="1" customHeight="1" spans="1:6">
      <c r="A6021" s="9" t="str">
        <f>"10360520119"</f>
        <v>10360520119</v>
      </c>
      <c r="B6021" s="10">
        <v>0</v>
      </c>
      <c r="C6021" s="9"/>
      <c r="D6021" s="9">
        <f t="shared" si="94"/>
        <v>0</v>
      </c>
      <c r="E6021" s="11"/>
      <c r="F6021" s="9" t="s">
        <v>7</v>
      </c>
    </row>
    <row r="6022" s="1" customFormat="1" customHeight="1" spans="1:6">
      <c r="A6022" s="9" t="str">
        <f>"10450520120"</f>
        <v>10450520120</v>
      </c>
      <c r="B6022" s="10">
        <v>46.04</v>
      </c>
      <c r="C6022" s="9"/>
      <c r="D6022" s="9">
        <f t="shared" si="94"/>
        <v>46.04</v>
      </c>
      <c r="E6022" s="11"/>
      <c r="F6022" s="9"/>
    </row>
    <row r="6023" s="1" customFormat="1" customHeight="1" spans="1:6">
      <c r="A6023" s="9" t="str">
        <f>"10500520121"</f>
        <v>10500520121</v>
      </c>
      <c r="B6023" s="10">
        <v>42.22</v>
      </c>
      <c r="C6023" s="9"/>
      <c r="D6023" s="9">
        <f t="shared" si="94"/>
        <v>42.22</v>
      </c>
      <c r="E6023" s="11"/>
      <c r="F6023" s="9"/>
    </row>
    <row r="6024" s="1" customFormat="1" customHeight="1" spans="1:6">
      <c r="A6024" s="9" t="str">
        <f>"10070520122"</f>
        <v>10070520122</v>
      </c>
      <c r="B6024" s="10">
        <v>29.78</v>
      </c>
      <c r="C6024" s="9"/>
      <c r="D6024" s="9">
        <f t="shared" si="94"/>
        <v>29.78</v>
      </c>
      <c r="E6024" s="11"/>
      <c r="F6024" s="9"/>
    </row>
    <row r="6025" s="1" customFormat="1" customHeight="1" spans="1:6">
      <c r="A6025" s="9" t="str">
        <f>"10430520123"</f>
        <v>10430520123</v>
      </c>
      <c r="B6025" s="10">
        <v>42.98</v>
      </c>
      <c r="C6025" s="9"/>
      <c r="D6025" s="9">
        <f t="shared" si="94"/>
        <v>42.98</v>
      </c>
      <c r="E6025" s="11"/>
      <c r="F6025" s="9"/>
    </row>
    <row r="6026" s="1" customFormat="1" customHeight="1" spans="1:6">
      <c r="A6026" s="9" t="str">
        <f>"10170520124"</f>
        <v>10170520124</v>
      </c>
      <c r="B6026" s="10">
        <v>38.83</v>
      </c>
      <c r="C6026" s="9"/>
      <c r="D6026" s="9">
        <f t="shared" si="94"/>
        <v>38.83</v>
      </c>
      <c r="E6026" s="11"/>
      <c r="F6026" s="9"/>
    </row>
    <row r="6027" s="1" customFormat="1" customHeight="1" spans="1:6">
      <c r="A6027" s="9" t="str">
        <f>"10270520125"</f>
        <v>10270520125</v>
      </c>
      <c r="B6027" s="10">
        <v>39.53</v>
      </c>
      <c r="C6027" s="9"/>
      <c r="D6027" s="9">
        <f t="shared" si="94"/>
        <v>39.53</v>
      </c>
      <c r="E6027" s="11"/>
      <c r="F6027" s="9"/>
    </row>
    <row r="6028" s="1" customFormat="1" customHeight="1" spans="1:6">
      <c r="A6028" s="9" t="str">
        <f>"10500520126"</f>
        <v>10500520126</v>
      </c>
      <c r="B6028" s="10">
        <v>0</v>
      </c>
      <c r="C6028" s="9"/>
      <c r="D6028" s="9">
        <f t="shared" si="94"/>
        <v>0</v>
      </c>
      <c r="E6028" s="11"/>
      <c r="F6028" s="9" t="s">
        <v>7</v>
      </c>
    </row>
    <row r="6029" s="1" customFormat="1" customHeight="1" spans="1:6">
      <c r="A6029" s="9" t="str">
        <f>"10410520127"</f>
        <v>10410520127</v>
      </c>
      <c r="B6029" s="10">
        <v>41.71</v>
      </c>
      <c r="C6029" s="9"/>
      <c r="D6029" s="9">
        <f t="shared" si="94"/>
        <v>41.71</v>
      </c>
      <c r="E6029" s="11"/>
      <c r="F6029" s="9"/>
    </row>
    <row r="6030" s="1" customFormat="1" customHeight="1" spans="1:6">
      <c r="A6030" s="9" t="str">
        <f>"10360520128"</f>
        <v>10360520128</v>
      </c>
      <c r="B6030" s="10">
        <v>34.72</v>
      </c>
      <c r="C6030" s="9"/>
      <c r="D6030" s="9">
        <f t="shared" si="94"/>
        <v>34.72</v>
      </c>
      <c r="E6030" s="11"/>
      <c r="F6030" s="9"/>
    </row>
    <row r="6031" s="1" customFormat="1" customHeight="1" spans="1:6">
      <c r="A6031" s="9" t="str">
        <f>"10300520129"</f>
        <v>10300520129</v>
      </c>
      <c r="B6031" s="10">
        <v>47.52</v>
      </c>
      <c r="C6031" s="9"/>
      <c r="D6031" s="9">
        <f t="shared" si="94"/>
        <v>47.52</v>
      </c>
      <c r="E6031" s="11"/>
      <c r="F6031" s="9"/>
    </row>
    <row r="6032" s="1" customFormat="1" customHeight="1" spans="1:6">
      <c r="A6032" s="9" t="str">
        <f>"10130520130"</f>
        <v>10130520130</v>
      </c>
      <c r="B6032" s="10">
        <v>43.57</v>
      </c>
      <c r="C6032" s="9"/>
      <c r="D6032" s="9">
        <f t="shared" si="94"/>
        <v>43.57</v>
      </c>
      <c r="E6032" s="11"/>
      <c r="F6032" s="9"/>
    </row>
    <row r="6033" s="1" customFormat="1" customHeight="1" spans="1:6">
      <c r="A6033" s="9" t="str">
        <f>"10420520201"</f>
        <v>10420520201</v>
      </c>
      <c r="B6033" s="10">
        <v>36.24</v>
      </c>
      <c r="C6033" s="9"/>
      <c r="D6033" s="9">
        <f t="shared" si="94"/>
        <v>36.24</v>
      </c>
      <c r="E6033" s="11"/>
      <c r="F6033" s="9"/>
    </row>
    <row r="6034" s="1" customFormat="1" customHeight="1" spans="1:6">
      <c r="A6034" s="9" t="str">
        <f>"10110520202"</f>
        <v>10110520202</v>
      </c>
      <c r="B6034" s="10">
        <v>38.98</v>
      </c>
      <c r="C6034" s="9"/>
      <c r="D6034" s="9">
        <f t="shared" si="94"/>
        <v>38.98</v>
      </c>
      <c r="E6034" s="11"/>
      <c r="F6034" s="9"/>
    </row>
    <row r="6035" s="1" customFormat="1" customHeight="1" spans="1:6">
      <c r="A6035" s="9" t="str">
        <f>"10360520203"</f>
        <v>10360520203</v>
      </c>
      <c r="B6035" s="10">
        <v>43.16</v>
      </c>
      <c r="C6035" s="9"/>
      <c r="D6035" s="9">
        <f t="shared" si="94"/>
        <v>43.16</v>
      </c>
      <c r="E6035" s="11"/>
      <c r="F6035" s="9"/>
    </row>
    <row r="6036" s="1" customFormat="1" customHeight="1" spans="1:6">
      <c r="A6036" s="9" t="str">
        <f>"10360520204"</f>
        <v>10360520204</v>
      </c>
      <c r="B6036" s="10">
        <v>0</v>
      </c>
      <c r="C6036" s="9"/>
      <c r="D6036" s="9">
        <f t="shared" si="94"/>
        <v>0</v>
      </c>
      <c r="E6036" s="11"/>
      <c r="F6036" s="9" t="s">
        <v>7</v>
      </c>
    </row>
    <row r="6037" s="1" customFormat="1" customHeight="1" spans="1:6">
      <c r="A6037" s="9" t="str">
        <f>"10280520205"</f>
        <v>10280520205</v>
      </c>
      <c r="B6037" s="10">
        <v>50.58</v>
      </c>
      <c r="C6037" s="9"/>
      <c r="D6037" s="9">
        <f t="shared" si="94"/>
        <v>50.58</v>
      </c>
      <c r="E6037" s="11"/>
      <c r="F6037" s="9"/>
    </row>
    <row r="6038" s="1" customFormat="1" customHeight="1" spans="1:6">
      <c r="A6038" s="9" t="str">
        <f>"10530520206"</f>
        <v>10530520206</v>
      </c>
      <c r="B6038" s="10">
        <v>39.09</v>
      </c>
      <c r="C6038" s="9">
        <v>10</v>
      </c>
      <c r="D6038" s="9">
        <f t="shared" si="94"/>
        <v>49.09</v>
      </c>
      <c r="E6038" s="12" t="s">
        <v>8</v>
      </c>
      <c r="F6038" s="9"/>
    </row>
    <row r="6039" s="1" customFormat="1" customHeight="1" spans="1:6">
      <c r="A6039" s="9" t="str">
        <f>"10060520207"</f>
        <v>10060520207</v>
      </c>
      <c r="B6039" s="10">
        <v>0</v>
      </c>
      <c r="C6039" s="9"/>
      <c r="D6039" s="9">
        <f t="shared" si="94"/>
        <v>0</v>
      </c>
      <c r="E6039" s="11"/>
      <c r="F6039" s="9" t="s">
        <v>7</v>
      </c>
    </row>
    <row r="6040" s="1" customFormat="1" customHeight="1" spans="1:6">
      <c r="A6040" s="9" t="str">
        <f>"10360520208"</f>
        <v>10360520208</v>
      </c>
      <c r="B6040" s="10">
        <v>0</v>
      </c>
      <c r="C6040" s="9"/>
      <c r="D6040" s="9">
        <f t="shared" si="94"/>
        <v>0</v>
      </c>
      <c r="E6040" s="11"/>
      <c r="F6040" s="9" t="s">
        <v>7</v>
      </c>
    </row>
    <row r="6041" s="1" customFormat="1" customHeight="1" spans="1:6">
      <c r="A6041" s="9" t="str">
        <f>"10190520209"</f>
        <v>10190520209</v>
      </c>
      <c r="B6041" s="10">
        <v>43.53</v>
      </c>
      <c r="C6041" s="9"/>
      <c r="D6041" s="9">
        <f t="shared" si="94"/>
        <v>43.53</v>
      </c>
      <c r="E6041" s="11"/>
      <c r="F6041" s="9"/>
    </row>
    <row r="6042" s="1" customFormat="1" customHeight="1" spans="1:6">
      <c r="A6042" s="9" t="str">
        <f>"10020520210"</f>
        <v>10020520210</v>
      </c>
      <c r="B6042" s="10">
        <v>46.92</v>
      </c>
      <c r="C6042" s="9"/>
      <c r="D6042" s="9">
        <f t="shared" si="94"/>
        <v>46.92</v>
      </c>
      <c r="E6042" s="11"/>
      <c r="F6042" s="9"/>
    </row>
    <row r="6043" s="1" customFormat="1" customHeight="1" spans="1:6">
      <c r="A6043" s="9" t="str">
        <f>"10500520211"</f>
        <v>10500520211</v>
      </c>
      <c r="B6043" s="10">
        <v>0</v>
      </c>
      <c r="C6043" s="9"/>
      <c r="D6043" s="9">
        <f t="shared" si="94"/>
        <v>0</v>
      </c>
      <c r="E6043" s="11"/>
      <c r="F6043" s="9" t="s">
        <v>7</v>
      </c>
    </row>
    <row r="6044" s="1" customFormat="1" customHeight="1" spans="1:6">
      <c r="A6044" s="9" t="str">
        <f>"10360520212"</f>
        <v>10360520212</v>
      </c>
      <c r="B6044" s="10">
        <v>41.38</v>
      </c>
      <c r="C6044" s="9"/>
      <c r="D6044" s="9">
        <f t="shared" si="94"/>
        <v>41.38</v>
      </c>
      <c r="E6044" s="11"/>
      <c r="F6044" s="9"/>
    </row>
    <row r="6045" s="1" customFormat="1" customHeight="1" spans="1:6">
      <c r="A6045" s="9" t="str">
        <f>"10300520213"</f>
        <v>10300520213</v>
      </c>
      <c r="B6045" s="10">
        <v>0</v>
      </c>
      <c r="C6045" s="9"/>
      <c r="D6045" s="9">
        <f t="shared" si="94"/>
        <v>0</v>
      </c>
      <c r="E6045" s="11"/>
      <c r="F6045" s="9" t="s">
        <v>7</v>
      </c>
    </row>
    <row r="6046" s="1" customFormat="1" customHeight="1" spans="1:6">
      <c r="A6046" s="9" t="str">
        <f>"10460520214"</f>
        <v>10460520214</v>
      </c>
      <c r="B6046" s="10">
        <v>40.2</v>
      </c>
      <c r="C6046" s="9"/>
      <c r="D6046" s="9">
        <f t="shared" si="94"/>
        <v>40.2</v>
      </c>
      <c r="E6046" s="11"/>
      <c r="F6046" s="9"/>
    </row>
    <row r="6047" s="1" customFormat="1" customHeight="1" spans="1:6">
      <c r="A6047" s="9" t="str">
        <f>"10240520215"</f>
        <v>10240520215</v>
      </c>
      <c r="B6047" s="10">
        <v>46.51</v>
      </c>
      <c r="C6047" s="9"/>
      <c r="D6047" s="9">
        <f t="shared" si="94"/>
        <v>46.51</v>
      </c>
      <c r="E6047" s="11"/>
      <c r="F6047" s="9"/>
    </row>
    <row r="6048" s="1" customFormat="1" customHeight="1" spans="1:6">
      <c r="A6048" s="9" t="str">
        <f>"10330520216"</f>
        <v>10330520216</v>
      </c>
      <c r="B6048" s="10">
        <v>0</v>
      </c>
      <c r="C6048" s="9"/>
      <c r="D6048" s="9">
        <f t="shared" si="94"/>
        <v>0</v>
      </c>
      <c r="E6048" s="11"/>
      <c r="F6048" s="9" t="s">
        <v>7</v>
      </c>
    </row>
    <row r="6049" s="1" customFormat="1" customHeight="1" spans="1:6">
      <c r="A6049" s="9" t="str">
        <f>"10300520217"</f>
        <v>10300520217</v>
      </c>
      <c r="B6049" s="10">
        <v>0</v>
      </c>
      <c r="C6049" s="9"/>
      <c r="D6049" s="9">
        <f t="shared" si="94"/>
        <v>0</v>
      </c>
      <c r="E6049" s="11"/>
      <c r="F6049" s="9" t="s">
        <v>7</v>
      </c>
    </row>
    <row r="6050" s="1" customFormat="1" customHeight="1" spans="1:6">
      <c r="A6050" s="9" t="str">
        <f>"10330520218"</f>
        <v>10330520218</v>
      </c>
      <c r="B6050" s="10">
        <v>0</v>
      </c>
      <c r="C6050" s="9"/>
      <c r="D6050" s="9">
        <f t="shared" si="94"/>
        <v>0</v>
      </c>
      <c r="E6050" s="11"/>
      <c r="F6050" s="9" t="s">
        <v>7</v>
      </c>
    </row>
    <row r="6051" s="1" customFormat="1" customHeight="1" spans="1:6">
      <c r="A6051" s="9" t="str">
        <f>"10080520219"</f>
        <v>10080520219</v>
      </c>
      <c r="B6051" s="10">
        <v>45.8</v>
      </c>
      <c r="C6051" s="9"/>
      <c r="D6051" s="9">
        <f t="shared" si="94"/>
        <v>45.8</v>
      </c>
      <c r="E6051" s="11"/>
      <c r="F6051" s="9"/>
    </row>
    <row r="6052" s="1" customFormat="1" customHeight="1" spans="1:6">
      <c r="A6052" s="9" t="str">
        <f>"10070520220"</f>
        <v>10070520220</v>
      </c>
      <c r="B6052" s="10">
        <v>49.22</v>
      </c>
      <c r="C6052" s="9"/>
      <c r="D6052" s="9">
        <f t="shared" si="94"/>
        <v>49.22</v>
      </c>
      <c r="E6052" s="11"/>
      <c r="F6052" s="9"/>
    </row>
    <row r="6053" s="1" customFormat="1" customHeight="1" spans="1:6">
      <c r="A6053" s="9" t="str">
        <f>"10280520221"</f>
        <v>10280520221</v>
      </c>
      <c r="B6053" s="10">
        <v>34.08</v>
      </c>
      <c r="C6053" s="9">
        <v>10</v>
      </c>
      <c r="D6053" s="9">
        <f t="shared" si="94"/>
        <v>44.08</v>
      </c>
      <c r="E6053" s="12" t="s">
        <v>8</v>
      </c>
      <c r="F6053" s="9"/>
    </row>
    <row r="6054" s="1" customFormat="1" customHeight="1" spans="1:6">
      <c r="A6054" s="9" t="str">
        <f>"10360520222"</f>
        <v>10360520222</v>
      </c>
      <c r="B6054" s="10">
        <v>0</v>
      </c>
      <c r="C6054" s="9"/>
      <c r="D6054" s="9">
        <f t="shared" si="94"/>
        <v>0</v>
      </c>
      <c r="E6054" s="11"/>
      <c r="F6054" s="9" t="s">
        <v>7</v>
      </c>
    </row>
    <row r="6055" s="1" customFormat="1" customHeight="1" spans="1:6">
      <c r="A6055" s="9" t="str">
        <f>"10080520223"</f>
        <v>10080520223</v>
      </c>
      <c r="B6055" s="10">
        <v>51.84</v>
      </c>
      <c r="C6055" s="9"/>
      <c r="D6055" s="9">
        <f t="shared" si="94"/>
        <v>51.84</v>
      </c>
      <c r="E6055" s="11"/>
      <c r="F6055" s="9"/>
    </row>
    <row r="6056" s="1" customFormat="1" customHeight="1" spans="1:6">
      <c r="A6056" s="9" t="str">
        <f>"10420520224"</f>
        <v>10420520224</v>
      </c>
      <c r="B6056" s="10">
        <v>41.99</v>
      </c>
      <c r="C6056" s="9"/>
      <c r="D6056" s="9">
        <f t="shared" si="94"/>
        <v>41.99</v>
      </c>
      <c r="E6056" s="11"/>
      <c r="F6056" s="9"/>
    </row>
    <row r="6057" s="1" customFormat="1" customHeight="1" spans="1:6">
      <c r="A6057" s="9" t="str">
        <f>"10110520225"</f>
        <v>10110520225</v>
      </c>
      <c r="B6057" s="10">
        <v>43.49</v>
      </c>
      <c r="C6057" s="9"/>
      <c r="D6057" s="9">
        <f t="shared" si="94"/>
        <v>43.49</v>
      </c>
      <c r="E6057" s="11"/>
      <c r="F6057" s="9"/>
    </row>
    <row r="6058" s="1" customFormat="1" customHeight="1" spans="1:6">
      <c r="A6058" s="9" t="str">
        <f>"10330520226"</f>
        <v>10330520226</v>
      </c>
      <c r="B6058" s="10">
        <v>33.99</v>
      </c>
      <c r="C6058" s="9"/>
      <c r="D6058" s="9">
        <f t="shared" si="94"/>
        <v>33.99</v>
      </c>
      <c r="E6058" s="11"/>
      <c r="F6058" s="9"/>
    </row>
    <row r="6059" s="1" customFormat="1" customHeight="1" spans="1:6">
      <c r="A6059" s="9" t="str">
        <f>"20270520227"</f>
        <v>20270520227</v>
      </c>
      <c r="B6059" s="10">
        <v>46.19</v>
      </c>
      <c r="C6059" s="9"/>
      <c r="D6059" s="9">
        <f t="shared" si="94"/>
        <v>46.19</v>
      </c>
      <c r="E6059" s="11"/>
      <c r="F6059" s="9"/>
    </row>
    <row r="6060" s="1" customFormat="1" customHeight="1" spans="1:6">
      <c r="A6060" s="9" t="str">
        <f>"10010520228"</f>
        <v>10010520228</v>
      </c>
      <c r="B6060" s="10">
        <v>0</v>
      </c>
      <c r="C6060" s="9"/>
      <c r="D6060" s="9">
        <f t="shared" si="94"/>
        <v>0</v>
      </c>
      <c r="E6060" s="11"/>
      <c r="F6060" s="9" t="s">
        <v>7</v>
      </c>
    </row>
    <row r="6061" s="1" customFormat="1" customHeight="1" spans="1:6">
      <c r="A6061" s="9" t="str">
        <f>"10140520229"</f>
        <v>10140520229</v>
      </c>
      <c r="B6061" s="10">
        <v>0</v>
      </c>
      <c r="C6061" s="9"/>
      <c r="D6061" s="9">
        <f t="shared" si="94"/>
        <v>0</v>
      </c>
      <c r="E6061" s="11"/>
      <c r="F6061" s="9" t="s">
        <v>7</v>
      </c>
    </row>
    <row r="6062" s="1" customFormat="1" customHeight="1" spans="1:6">
      <c r="A6062" s="9" t="str">
        <f>"10210520230"</f>
        <v>10210520230</v>
      </c>
      <c r="B6062" s="10">
        <v>36.07</v>
      </c>
      <c r="C6062" s="9"/>
      <c r="D6062" s="9">
        <f t="shared" si="94"/>
        <v>36.07</v>
      </c>
      <c r="E6062" s="11"/>
      <c r="F6062" s="9"/>
    </row>
    <row r="6063" s="1" customFormat="1" customHeight="1" spans="1:6">
      <c r="A6063" s="9" t="str">
        <f>"10110520301"</f>
        <v>10110520301</v>
      </c>
      <c r="B6063" s="10">
        <v>0</v>
      </c>
      <c r="C6063" s="9"/>
      <c r="D6063" s="9">
        <f t="shared" si="94"/>
        <v>0</v>
      </c>
      <c r="E6063" s="11"/>
      <c r="F6063" s="9" t="s">
        <v>7</v>
      </c>
    </row>
    <row r="6064" s="1" customFormat="1" customHeight="1" spans="1:6">
      <c r="A6064" s="9" t="str">
        <f>"10120520302"</f>
        <v>10120520302</v>
      </c>
      <c r="B6064" s="10">
        <v>47.13</v>
      </c>
      <c r="C6064" s="9"/>
      <c r="D6064" s="9">
        <f t="shared" si="94"/>
        <v>47.13</v>
      </c>
      <c r="E6064" s="11"/>
      <c r="F6064" s="9"/>
    </row>
    <row r="6065" s="1" customFormat="1" customHeight="1" spans="1:6">
      <c r="A6065" s="9" t="str">
        <f>"10360520303"</f>
        <v>10360520303</v>
      </c>
      <c r="B6065" s="10">
        <v>36.41</v>
      </c>
      <c r="C6065" s="9"/>
      <c r="D6065" s="9">
        <f t="shared" si="94"/>
        <v>36.41</v>
      </c>
      <c r="E6065" s="11"/>
      <c r="F6065" s="9"/>
    </row>
    <row r="6066" s="1" customFormat="1" customHeight="1" spans="1:6">
      <c r="A6066" s="9" t="str">
        <f>"10530520304"</f>
        <v>10530520304</v>
      </c>
      <c r="B6066" s="10">
        <v>0</v>
      </c>
      <c r="C6066" s="9"/>
      <c r="D6066" s="9">
        <f t="shared" si="94"/>
        <v>0</v>
      </c>
      <c r="E6066" s="11"/>
      <c r="F6066" s="9" t="s">
        <v>7</v>
      </c>
    </row>
    <row r="6067" s="1" customFormat="1" customHeight="1" spans="1:6">
      <c r="A6067" s="9" t="str">
        <f>"10510520305"</f>
        <v>10510520305</v>
      </c>
      <c r="B6067" s="10">
        <v>42.7</v>
      </c>
      <c r="C6067" s="9"/>
      <c r="D6067" s="9">
        <f t="shared" si="94"/>
        <v>42.7</v>
      </c>
      <c r="E6067" s="11"/>
      <c r="F6067" s="9"/>
    </row>
    <row r="6068" s="1" customFormat="1" customHeight="1" spans="1:6">
      <c r="A6068" s="9" t="str">
        <f>"10360520306"</f>
        <v>10360520306</v>
      </c>
      <c r="B6068" s="10">
        <v>37.36</v>
      </c>
      <c r="C6068" s="9"/>
      <c r="D6068" s="9">
        <f t="shared" si="94"/>
        <v>37.36</v>
      </c>
      <c r="E6068" s="11"/>
      <c r="F6068" s="9"/>
    </row>
    <row r="6069" s="1" customFormat="1" customHeight="1" spans="1:6">
      <c r="A6069" s="9" t="str">
        <f>"10360520307"</f>
        <v>10360520307</v>
      </c>
      <c r="B6069" s="10">
        <v>32.85</v>
      </c>
      <c r="C6069" s="9"/>
      <c r="D6069" s="9">
        <f t="shared" si="94"/>
        <v>32.85</v>
      </c>
      <c r="E6069" s="11"/>
      <c r="F6069" s="9"/>
    </row>
    <row r="6070" s="1" customFormat="1" customHeight="1" spans="1:6">
      <c r="A6070" s="9" t="str">
        <f>"10430520308"</f>
        <v>10430520308</v>
      </c>
      <c r="B6070" s="10">
        <v>44.2</v>
      </c>
      <c r="C6070" s="9"/>
      <c r="D6070" s="9">
        <f t="shared" si="94"/>
        <v>44.2</v>
      </c>
      <c r="E6070" s="11"/>
      <c r="F6070" s="9"/>
    </row>
    <row r="6071" s="1" customFormat="1" customHeight="1" spans="1:6">
      <c r="A6071" s="9" t="str">
        <f>"10360520309"</f>
        <v>10360520309</v>
      </c>
      <c r="B6071" s="10">
        <v>40.8</v>
      </c>
      <c r="C6071" s="9"/>
      <c r="D6071" s="9">
        <f t="shared" si="94"/>
        <v>40.8</v>
      </c>
      <c r="E6071" s="11"/>
      <c r="F6071" s="9"/>
    </row>
    <row r="6072" s="1" customFormat="1" customHeight="1" spans="1:6">
      <c r="A6072" s="9" t="str">
        <f>"10080520310"</f>
        <v>10080520310</v>
      </c>
      <c r="B6072" s="10">
        <v>0</v>
      </c>
      <c r="C6072" s="9"/>
      <c r="D6072" s="9">
        <f t="shared" si="94"/>
        <v>0</v>
      </c>
      <c r="E6072" s="11"/>
      <c r="F6072" s="9" t="s">
        <v>7</v>
      </c>
    </row>
    <row r="6073" s="1" customFormat="1" customHeight="1" spans="1:6">
      <c r="A6073" s="9" t="str">
        <f>"10500520311"</f>
        <v>10500520311</v>
      </c>
      <c r="B6073" s="10">
        <v>0</v>
      </c>
      <c r="C6073" s="9"/>
      <c r="D6073" s="9">
        <f t="shared" si="94"/>
        <v>0</v>
      </c>
      <c r="E6073" s="11"/>
      <c r="F6073" s="9" t="s">
        <v>7</v>
      </c>
    </row>
    <row r="6074" s="1" customFormat="1" customHeight="1" spans="1:6">
      <c r="A6074" s="9" t="str">
        <f>"10360520312"</f>
        <v>10360520312</v>
      </c>
      <c r="B6074" s="10">
        <v>0</v>
      </c>
      <c r="C6074" s="9"/>
      <c r="D6074" s="9">
        <f t="shared" si="94"/>
        <v>0</v>
      </c>
      <c r="E6074" s="11"/>
      <c r="F6074" s="9" t="s">
        <v>7</v>
      </c>
    </row>
    <row r="6075" s="1" customFormat="1" customHeight="1" spans="1:6">
      <c r="A6075" s="9" t="str">
        <f>"10300520313"</f>
        <v>10300520313</v>
      </c>
      <c r="B6075" s="10">
        <v>41.15</v>
      </c>
      <c r="C6075" s="9"/>
      <c r="D6075" s="9">
        <f t="shared" si="94"/>
        <v>41.15</v>
      </c>
      <c r="E6075" s="11"/>
      <c r="F6075" s="9"/>
    </row>
    <row r="6076" s="1" customFormat="1" customHeight="1" spans="1:6">
      <c r="A6076" s="9" t="str">
        <f>"10530520314"</f>
        <v>10530520314</v>
      </c>
      <c r="B6076" s="10">
        <v>0</v>
      </c>
      <c r="C6076" s="9"/>
      <c r="D6076" s="9">
        <f t="shared" si="94"/>
        <v>0</v>
      </c>
      <c r="E6076" s="11"/>
      <c r="F6076" s="9" t="s">
        <v>7</v>
      </c>
    </row>
    <row r="6077" s="1" customFormat="1" customHeight="1" spans="1:6">
      <c r="A6077" s="9" t="str">
        <f>"10160520315"</f>
        <v>10160520315</v>
      </c>
      <c r="B6077" s="10">
        <v>42.54</v>
      </c>
      <c r="C6077" s="9"/>
      <c r="D6077" s="9">
        <f t="shared" si="94"/>
        <v>42.54</v>
      </c>
      <c r="E6077" s="11"/>
      <c r="F6077" s="9"/>
    </row>
    <row r="6078" s="1" customFormat="1" customHeight="1" spans="1:6">
      <c r="A6078" s="9" t="str">
        <f>"10530520316"</f>
        <v>10530520316</v>
      </c>
      <c r="B6078" s="10">
        <v>41.91</v>
      </c>
      <c r="C6078" s="9"/>
      <c r="D6078" s="9">
        <f t="shared" si="94"/>
        <v>41.91</v>
      </c>
      <c r="E6078" s="11"/>
      <c r="F6078" s="9"/>
    </row>
    <row r="6079" s="1" customFormat="1" customHeight="1" spans="1:6">
      <c r="A6079" s="9" t="str">
        <f>"10360520317"</f>
        <v>10360520317</v>
      </c>
      <c r="B6079" s="10">
        <v>0</v>
      </c>
      <c r="C6079" s="9"/>
      <c r="D6079" s="9">
        <f t="shared" si="94"/>
        <v>0</v>
      </c>
      <c r="E6079" s="11"/>
      <c r="F6079" s="9" t="s">
        <v>7</v>
      </c>
    </row>
    <row r="6080" s="1" customFormat="1" customHeight="1" spans="1:6">
      <c r="A6080" s="9" t="str">
        <f>"10210520318"</f>
        <v>10210520318</v>
      </c>
      <c r="B6080" s="10">
        <v>45.66</v>
      </c>
      <c r="C6080" s="9"/>
      <c r="D6080" s="9">
        <f t="shared" si="94"/>
        <v>45.66</v>
      </c>
      <c r="E6080" s="11"/>
      <c r="F6080" s="9"/>
    </row>
    <row r="6081" s="1" customFormat="1" customHeight="1" spans="1:6">
      <c r="A6081" s="9" t="str">
        <f>"20270520319"</f>
        <v>20270520319</v>
      </c>
      <c r="B6081" s="10">
        <v>31.52</v>
      </c>
      <c r="C6081" s="9"/>
      <c r="D6081" s="9">
        <f t="shared" si="94"/>
        <v>31.52</v>
      </c>
      <c r="E6081" s="11"/>
      <c r="F6081" s="9"/>
    </row>
    <row r="6082" s="1" customFormat="1" customHeight="1" spans="1:6">
      <c r="A6082" s="9" t="str">
        <f>"10230520320"</f>
        <v>10230520320</v>
      </c>
      <c r="B6082" s="10">
        <v>38.55</v>
      </c>
      <c r="C6082" s="9"/>
      <c r="D6082" s="9">
        <f t="shared" si="94"/>
        <v>38.55</v>
      </c>
      <c r="E6082" s="11"/>
      <c r="F6082" s="9"/>
    </row>
    <row r="6083" s="1" customFormat="1" customHeight="1" spans="1:6">
      <c r="A6083" s="9" t="str">
        <f>"10060520321"</f>
        <v>10060520321</v>
      </c>
      <c r="B6083" s="10">
        <v>44.48</v>
      </c>
      <c r="C6083" s="9"/>
      <c r="D6083" s="9">
        <f t="shared" ref="D6083:D6146" si="95">SUM(B6083:C6083)</f>
        <v>44.48</v>
      </c>
      <c r="E6083" s="11"/>
      <c r="F6083" s="9"/>
    </row>
    <row r="6084" s="1" customFormat="1" customHeight="1" spans="1:6">
      <c r="A6084" s="9" t="str">
        <f>"10530520322"</f>
        <v>10530520322</v>
      </c>
      <c r="B6084" s="10">
        <v>28.36</v>
      </c>
      <c r="C6084" s="9"/>
      <c r="D6084" s="9">
        <f t="shared" si="95"/>
        <v>28.36</v>
      </c>
      <c r="E6084" s="11"/>
      <c r="F6084" s="9"/>
    </row>
    <row r="6085" s="1" customFormat="1" customHeight="1" spans="1:6">
      <c r="A6085" s="9" t="str">
        <f>"10380520323"</f>
        <v>10380520323</v>
      </c>
      <c r="B6085" s="10">
        <v>49.39</v>
      </c>
      <c r="C6085" s="9"/>
      <c r="D6085" s="9">
        <f t="shared" si="95"/>
        <v>49.39</v>
      </c>
      <c r="E6085" s="11"/>
      <c r="F6085" s="9"/>
    </row>
    <row r="6086" s="1" customFormat="1" customHeight="1" spans="1:6">
      <c r="A6086" s="9" t="str">
        <f>"10520520324"</f>
        <v>10520520324</v>
      </c>
      <c r="B6086" s="10">
        <v>36.43</v>
      </c>
      <c r="C6086" s="9"/>
      <c r="D6086" s="9">
        <f t="shared" si="95"/>
        <v>36.43</v>
      </c>
      <c r="E6086" s="11"/>
      <c r="F6086" s="9"/>
    </row>
    <row r="6087" s="1" customFormat="1" customHeight="1" spans="1:6">
      <c r="A6087" s="9" t="str">
        <f>"10360520325"</f>
        <v>10360520325</v>
      </c>
      <c r="B6087" s="10">
        <v>38.58</v>
      </c>
      <c r="C6087" s="9"/>
      <c r="D6087" s="9">
        <f t="shared" si="95"/>
        <v>38.58</v>
      </c>
      <c r="E6087" s="11"/>
      <c r="F6087" s="9"/>
    </row>
    <row r="6088" s="1" customFormat="1" customHeight="1" spans="1:6">
      <c r="A6088" s="9" t="str">
        <f>"10280520326"</f>
        <v>10280520326</v>
      </c>
      <c r="B6088" s="10">
        <v>40.73</v>
      </c>
      <c r="C6088" s="9"/>
      <c r="D6088" s="9">
        <f t="shared" si="95"/>
        <v>40.73</v>
      </c>
      <c r="E6088" s="11"/>
      <c r="F6088" s="9"/>
    </row>
    <row r="6089" s="1" customFormat="1" customHeight="1" spans="1:6">
      <c r="A6089" s="9" t="str">
        <f>"10330520327"</f>
        <v>10330520327</v>
      </c>
      <c r="B6089" s="10">
        <v>41.28</v>
      </c>
      <c r="C6089" s="9"/>
      <c r="D6089" s="9">
        <f t="shared" si="95"/>
        <v>41.28</v>
      </c>
      <c r="E6089" s="11"/>
      <c r="F6089" s="9"/>
    </row>
    <row r="6090" s="1" customFormat="1" customHeight="1" spans="1:6">
      <c r="A6090" s="9" t="str">
        <f>"10360520328"</f>
        <v>10360520328</v>
      </c>
      <c r="B6090" s="10">
        <v>45.43</v>
      </c>
      <c r="C6090" s="9"/>
      <c r="D6090" s="9">
        <f t="shared" si="95"/>
        <v>45.43</v>
      </c>
      <c r="E6090" s="11"/>
      <c r="F6090" s="9"/>
    </row>
    <row r="6091" s="1" customFormat="1" customHeight="1" spans="1:6">
      <c r="A6091" s="9" t="str">
        <f>"10170520329"</f>
        <v>10170520329</v>
      </c>
      <c r="B6091" s="10">
        <v>48.09</v>
      </c>
      <c r="C6091" s="9"/>
      <c r="D6091" s="9">
        <f t="shared" si="95"/>
        <v>48.09</v>
      </c>
      <c r="E6091" s="11"/>
      <c r="F6091" s="9"/>
    </row>
    <row r="6092" s="1" customFormat="1" customHeight="1" spans="1:6">
      <c r="A6092" s="9" t="str">
        <f>"10010520330"</f>
        <v>10010520330</v>
      </c>
      <c r="B6092" s="10">
        <v>0</v>
      </c>
      <c r="C6092" s="9"/>
      <c r="D6092" s="9">
        <f t="shared" si="95"/>
        <v>0</v>
      </c>
      <c r="E6092" s="11"/>
      <c r="F6092" s="9" t="s">
        <v>7</v>
      </c>
    </row>
    <row r="6093" s="1" customFormat="1" customHeight="1" spans="1:6">
      <c r="A6093" s="9" t="str">
        <f>"20270520401"</f>
        <v>20270520401</v>
      </c>
      <c r="B6093" s="10">
        <v>38.51</v>
      </c>
      <c r="C6093" s="9"/>
      <c r="D6093" s="9">
        <f t="shared" si="95"/>
        <v>38.51</v>
      </c>
      <c r="E6093" s="11"/>
      <c r="F6093" s="9"/>
    </row>
    <row r="6094" s="1" customFormat="1" customHeight="1" spans="1:6">
      <c r="A6094" s="9" t="str">
        <f>"10460520402"</f>
        <v>10460520402</v>
      </c>
      <c r="B6094" s="10">
        <v>41.12</v>
      </c>
      <c r="C6094" s="9"/>
      <c r="D6094" s="9">
        <f t="shared" si="95"/>
        <v>41.12</v>
      </c>
      <c r="E6094" s="11"/>
      <c r="F6094" s="9"/>
    </row>
    <row r="6095" s="1" customFormat="1" customHeight="1" spans="1:6">
      <c r="A6095" s="9" t="str">
        <f>"10060520403"</f>
        <v>10060520403</v>
      </c>
      <c r="B6095" s="10">
        <v>76.44</v>
      </c>
      <c r="C6095" s="9"/>
      <c r="D6095" s="9">
        <f t="shared" si="95"/>
        <v>76.44</v>
      </c>
      <c r="E6095" s="11"/>
      <c r="F6095" s="9"/>
    </row>
    <row r="6096" s="1" customFormat="1" customHeight="1" spans="1:6">
      <c r="A6096" s="9" t="str">
        <f>"10130520404"</f>
        <v>10130520404</v>
      </c>
      <c r="B6096" s="10">
        <v>0</v>
      </c>
      <c r="C6096" s="9"/>
      <c r="D6096" s="9">
        <f t="shared" si="95"/>
        <v>0</v>
      </c>
      <c r="E6096" s="11"/>
      <c r="F6096" s="9" t="s">
        <v>7</v>
      </c>
    </row>
    <row r="6097" s="1" customFormat="1" customHeight="1" spans="1:6">
      <c r="A6097" s="9" t="str">
        <f>"20270520405"</f>
        <v>20270520405</v>
      </c>
      <c r="B6097" s="10">
        <v>41.29</v>
      </c>
      <c r="C6097" s="9"/>
      <c r="D6097" s="9">
        <f t="shared" si="95"/>
        <v>41.29</v>
      </c>
      <c r="E6097" s="11"/>
      <c r="F6097" s="9"/>
    </row>
    <row r="6098" s="1" customFormat="1" customHeight="1" spans="1:6">
      <c r="A6098" s="9" t="str">
        <f>"10450520406"</f>
        <v>10450520406</v>
      </c>
      <c r="B6098" s="10">
        <v>40.98</v>
      </c>
      <c r="C6098" s="9"/>
      <c r="D6098" s="9">
        <f t="shared" si="95"/>
        <v>40.98</v>
      </c>
      <c r="E6098" s="11"/>
      <c r="F6098" s="9"/>
    </row>
    <row r="6099" s="1" customFormat="1" customHeight="1" spans="1:6">
      <c r="A6099" s="9" t="str">
        <f>"10300520407"</f>
        <v>10300520407</v>
      </c>
      <c r="B6099" s="10">
        <v>46.27</v>
      </c>
      <c r="C6099" s="9"/>
      <c r="D6099" s="9">
        <f t="shared" si="95"/>
        <v>46.27</v>
      </c>
      <c r="E6099" s="11"/>
      <c r="F6099" s="9"/>
    </row>
    <row r="6100" s="1" customFormat="1" customHeight="1" spans="1:6">
      <c r="A6100" s="9" t="str">
        <f>"10360520408"</f>
        <v>10360520408</v>
      </c>
      <c r="B6100" s="10">
        <v>32.31</v>
      </c>
      <c r="C6100" s="9"/>
      <c r="D6100" s="9">
        <f t="shared" si="95"/>
        <v>32.31</v>
      </c>
      <c r="E6100" s="11"/>
      <c r="F6100" s="9"/>
    </row>
    <row r="6101" s="1" customFormat="1" customHeight="1" spans="1:6">
      <c r="A6101" s="9" t="str">
        <f>"10140520409"</f>
        <v>10140520409</v>
      </c>
      <c r="B6101" s="10">
        <v>0</v>
      </c>
      <c r="C6101" s="9"/>
      <c r="D6101" s="9">
        <f t="shared" si="95"/>
        <v>0</v>
      </c>
      <c r="E6101" s="11"/>
      <c r="F6101" s="9" t="s">
        <v>7</v>
      </c>
    </row>
    <row r="6102" s="1" customFormat="1" customHeight="1" spans="1:6">
      <c r="A6102" s="9" t="str">
        <f>"10100520410"</f>
        <v>10100520410</v>
      </c>
      <c r="B6102" s="10">
        <v>54.16</v>
      </c>
      <c r="C6102" s="9"/>
      <c r="D6102" s="9">
        <f t="shared" si="95"/>
        <v>54.16</v>
      </c>
      <c r="E6102" s="11"/>
      <c r="F6102" s="9"/>
    </row>
    <row r="6103" s="1" customFormat="1" customHeight="1" spans="1:6">
      <c r="A6103" s="9" t="str">
        <f>"10360520411"</f>
        <v>10360520411</v>
      </c>
      <c r="B6103" s="10">
        <v>44.63</v>
      </c>
      <c r="C6103" s="9"/>
      <c r="D6103" s="9">
        <f t="shared" si="95"/>
        <v>44.63</v>
      </c>
      <c r="E6103" s="11"/>
      <c r="F6103" s="9"/>
    </row>
    <row r="6104" s="1" customFormat="1" customHeight="1" spans="1:6">
      <c r="A6104" s="9" t="str">
        <f>"10100520412"</f>
        <v>10100520412</v>
      </c>
      <c r="B6104" s="10">
        <v>42.8</v>
      </c>
      <c r="C6104" s="9"/>
      <c r="D6104" s="9">
        <f t="shared" si="95"/>
        <v>42.8</v>
      </c>
      <c r="E6104" s="11"/>
      <c r="F6104" s="9"/>
    </row>
    <row r="6105" s="1" customFormat="1" customHeight="1" spans="1:6">
      <c r="A6105" s="9" t="str">
        <f>"10360520413"</f>
        <v>10360520413</v>
      </c>
      <c r="B6105" s="10">
        <v>41.07</v>
      </c>
      <c r="C6105" s="9"/>
      <c r="D6105" s="9">
        <f t="shared" si="95"/>
        <v>41.07</v>
      </c>
      <c r="E6105" s="11"/>
      <c r="F6105" s="9"/>
    </row>
    <row r="6106" s="1" customFormat="1" customHeight="1" spans="1:6">
      <c r="A6106" s="9" t="str">
        <f>"10360520414"</f>
        <v>10360520414</v>
      </c>
      <c r="B6106" s="10">
        <v>0</v>
      </c>
      <c r="C6106" s="9"/>
      <c r="D6106" s="9">
        <f t="shared" si="95"/>
        <v>0</v>
      </c>
      <c r="E6106" s="11"/>
      <c r="F6106" s="9" t="s">
        <v>7</v>
      </c>
    </row>
    <row r="6107" s="1" customFormat="1" customHeight="1" spans="1:6">
      <c r="A6107" s="9" t="str">
        <f>"10110520415"</f>
        <v>10110520415</v>
      </c>
      <c r="B6107" s="10">
        <v>0</v>
      </c>
      <c r="C6107" s="9"/>
      <c r="D6107" s="9">
        <f t="shared" si="95"/>
        <v>0</v>
      </c>
      <c r="E6107" s="11"/>
      <c r="F6107" s="9" t="s">
        <v>7</v>
      </c>
    </row>
    <row r="6108" s="1" customFormat="1" customHeight="1" spans="1:6">
      <c r="A6108" s="9" t="str">
        <f>"10140520416"</f>
        <v>10140520416</v>
      </c>
      <c r="B6108" s="10">
        <v>0</v>
      </c>
      <c r="C6108" s="9"/>
      <c r="D6108" s="9">
        <f t="shared" si="95"/>
        <v>0</v>
      </c>
      <c r="E6108" s="11"/>
      <c r="F6108" s="9" t="s">
        <v>7</v>
      </c>
    </row>
    <row r="6109" s="1" customFormat="1" customHeight="1" spans="1:6">
      <c r="A6109" s="9" t="str">
        <f>"10290520417"</f>
        <v>10290520417</v>
      </c>
      <c r="B6109" s="10">
        <v>45.88</v>
      </c>
      <c r="C6109" s="9"/>
      <c r="D6109" s="9">
        <f t="shared" si="95"/>
        <v>45.88</v>
      </c>
      <c r="E6109" s="11"/>
      <c r="F6109" s="9"/>
    </row>
    <row r="6110" s="1" customFormat="1" customHeight="1" spans="1:6">
      <c r="A6110" s="9" t="str">
        <f>"10360520418"</f>
        <v>10360520418</v>
      </c>
      <c r="B6110" s="10">
        <v>39.94</v>
      </c>
      <c r="C6110" s="9"/>
      <c r="D6110" s="9">
        <f t="shared" si="95"/>
        <v>39.94</v>
      </c>
      <c r="E6110" s="11"/>
      <c r="F6110" s="9"/>
    </row>
    <row r="6111" s="1" customFormat="1" customHeight="1" spans="1:6">
      <c r="A6111" s="9" t="str">
        <f>"10240520419"</f>
        <v>10240520419</v>
      </c>
      <c r="B6111" s="10">
        <v>38.92</v>
      </c>
      <c r="C6111" s="9"/>
      <c r="D6111" s="9">
        <f t="shared" si="95"/>
        <v>38.92</v>
      </c>
      <c r="E6111" s="11"/>
      <c r="F6111" s="9"/>
    </row>
    <row r="6112" s="1" customFormat="1" customHeight="1" spans="1:6">
      <c r="A6112" s="9" t="str">
        <f>"10020520420"</f>
        <v>10020520420</v>
      </c>
      <c r="B6112" s="10">
        <v>0</v>
      </c>
      <c r="C6112" s="9"/>
      <c r="D6112" s="9">
        <f t="shared" si="95"/>
        <v>0</v>
      </c>
      <c r="E6112" s="11"/>
      <c r="F6112" s="9" t="s">
        <v>7</v>
      </c>
    </row>
    <row r="6113" s="1" customFormat="1" customHeight="1" spans="1:6">
      <c r="A6113" s="9" t="str">
        <f>"10340520421"</f>
        <v>10340520421</v>
      </c>
      <c r="B6113" s="10">
        <v>39.48</v>
      </c>
      <c r="C6113" s="9"/>
      <c r="D6113" s="9">
        <f t="shared" si="95"/>
        <v>39.48</v>
      </c>
      <c r="E6113" s="11"/>
      <c r="F6113" s="9"/>
    </row>
    <row r="6114" s="1" customFormat="1" customHeight="1" spans="1:6">
      <c r="A6114" s="9" t="str">
        <f>"10150520422"</f>
        <v>10150520422</v>
      </c>
      <c r="B6114" s="10">
        <v>0</v>
      </c>
      <c r="C6114" s="9"/>
      <c r="D6114" s="9">
        <f t="shared" si="95"/>
        <v>0</v>
      </c>
      <c r="E6114" s="11"/>
      <c r="F6114" s="9" t="s">
        <v>7</v>
      </c>
    </row>
    <row r="6115" s="1" customFormat="1" customHeight="1" spans="1:6">
      <c r="A6115" s="9" t="str">
        <f>"10360520423"</f>
        <v>10360520423</v>
      </c>
      <c r="B6115" s="10">
        <v>0</v>
      </c>
      <c r="C6115" s="9"/>
      <c r="D6115" s="9">
        <f t="shared" si="95"/>
        <v>0</v>
      </c>
      <c r="E6115" s="11"/>
      <c r="F6115" s="9" t="s">
        <v>7</v>
      </c>
    </row>
    <row r="6116" s="1" customFormat="1" customHeight="1" spans="1:6">
      <c r="A6116" s="9" t="str">
        <f>"10470520424"</f>
        <v>10470520424</v>
      </c>
      <c r="B6116" s="10">
        <v>42.24</v>
      </c>
      <c r="C6116" s="9"/>
      <c r="D6116" s="9">
        <f t="shared" si="95"/>
        <v>42.24</v>
      </c>
      <c r="E6116" s="11"/>
      <c r="F6116" s="9"/>
    </row>
    <row r="6117" s="1" customFormat="1" customHeight="1" spans="1:6">
      <c r="A6117" s="9" t="str">
        <f>"10060520425"</f>
        <v>10060520425</v>
      </c>
      <c r="B6117" s="10">
        <v>0</v>
      </c>
      <c r="C6117" s="9"/>
      <c r="D6117" s="9">
        <f t="shared" si="95"/>
        <v>0</v>
      </c>
      <c r="E6117" s="11"/>
      <c r="F6117" s="9" t="s">
        <v>7</v>
      </c>
    </row>
    <row r="6118" s="1" customFormat="1" customHeight="1" spans="1:6">
      <c r="A6118" s="9" t="str">
        <f>"10330520426"</f>
        <v>10330520426</v>
      </c>
      <c r="B6118" s="10">
        <v>37.6</v>
      </c>
      <c r="C6118" s="9"/>
      <c r="D6118" s="9">
        <f t="shared" si="95"/>
        <v>37.6</v>
      </c>
      <c r="E6118" s="11"/>
      <c r="F6118" s="9"/>
    </row>
    <row r="6119" s="1" customFormat="1" customHeight="1" spans="1:6">
      <c r="A6119" s="9" t="str">
        <f>"10360520427"</f>
        <v>10360520427</v>
      </c>
      <c r="B6119" s="10">
        <v>0</v>
      </c>
      <c r="C6119" s="9"/>
      <c r="D6119" s="9">
        <f t="shared" si="95"/>
        <v>0</v>
      </c>
      <c r="E6119" s="11"/>
      <c r="F6119" s="9" t="s">
        <v>7</v>
      </c>
    </row>
    <row r="6120" s="1" customFormat="1" customHeight="1" spans="1:6">
      <c r="A6120" s="9" t="str">
        <f>"10060520428"</f>
        <v>10060520428</v>
      </c>
      <c r="B6120" s="10">
        <v>0</v>
      </c>
      <c r="C6120" s="9"/>
      <c r="D6120" s="9">
        <f t="shared" si="95"/>
        <v>0</v>
      </c>
      <c r="E6120" s="11"/>
      <c r="F6120" s="9" t="s">
        <v>7</v>
      </c>
    </row>
    <row r="6121" s="1" customFormat="1" customHeight="1" spans="1:6">
      <c r="A6121" s="9" t="str">
        <f>"10110520429"</f>
        <v>10110520429</v>
      </c>
      <c r="B6121" s="10">
        <v>0</v>
      </c>
      <c r="C6121" s="9"/>
      <c r="D6121" s="9">
        <f t="shared" si="95"/>
        <v>0</v>
      </c>
      <c r="E6121" s="11"/>
      <c r="F6121" s="9" t="s">
        <v>7</v>
      </c>
    </row>
    <row r="6122" s="1" customFormat="1" customHeight="1" spans="1:6">
      <c r="A6122" s="9" t="str">
        <f>"10530520430"</f>
        <v>10530520430</v>
      </c>
      <c r="B6122" s="10">
        <v>0</v>
      </c>
      <c r="C6122" s="9"/>
      <c r="D6122" s="9">
        <f t="shared" si="95"/>
        <v>0</v>
      </c>
      <c r="E6122" s="11"/>
      <c r="F6122" s="9" t="s">
        <v>7</v>
      </c>
    </row>
    <row r="6123" s="1" customFormat="1" customHeight="1" spans="1:6">
      <c r="A6123" s="9" t="str">
        <f>"10330520501"</f>
        <v>10330520501</v>
      </c>
      <c r="B6123" s="10">
        <v>41.44</v>
      </c>
      <c r="C6123" s="9"/>
      <c r="D6123" s="9">
        <f t="shared" si="95"/>
        <v>41.44</v>
      </c>
      <c r="E6123" s="11"/>
      <c r="F6123" s="9"/>
    </row>
    <row r="6124" s="1" customFormat="1" customHeight="1" spans="1:6">
      <c r="A6124" s="9" t="str">
        <f>"10440520502"</f>
        <v>10440520502</v>
      </c>
      <c r="B6124" s="10">
        <v>48.85</v>
      </c>
      <c r="C6124" s="9"/>
      <c r="D6124" s="9">
        <f t="shared" si="95"/>
        <v>48.85</v>
      </c>
      <c r="E6124" s="11"/>
      <c r="F6124" s="9"/>
    </row>
    <row r="6125" s="1" customFormat="1" customHeight="1" spans="1:6">
      <c r="A6125" s="9" t="str">
        <f>"20180520503"</f>
        <v>20180520503</v>
      </c>
      <c r="B6125" s="10">
        <v>34.79</v>
      </c>
      <c r="C6125" s="9"/>
      <c r="D6125" s="9">
        <f t="shared" si="95"/>
        <v>34.79</v>
      </c>
      <c r="E6125" s="11"/>
      <c r="F6125" s="9"/>
    </row>
    <row r="6126" s="1" customFormat="1" customHeight="1" spans="1:6">
      <c r="A6126" s="9" t="str">
        <f>"10090520504"</f>
        <v>10090520504</v>
      </c>
      <c r="B6126" s="10">
        <v>39.86</v>
      </c>
      <c r="C6126" s="9"/>
      <c r="D6126" s="9">
        <f t="shared" si="95"/>
        <v>39.86</v>
      </c>
      <c r="E6126" s="11"/>
      <c r="F6126" s="9"/>
    </row>
    <row r="6127" s="1" customFormat="1" customHeight="1" spans="1:6">
      <c r="A6127" s="9" t="str">
        <f>"10070520505"</f>
        <v>10070520505</v>
      </c>
      <c r="B6127" s="10">
        <v>0</v>
      </c>
      <c r="C6127" s="9"/>
      <c r="D6127" s="9">
        <f t="shared" si="95"/>
        <v>0</v>
      </c>
      <c r="E6127" s="11"/>
      <c r="F6127" s="9" t="s">
        <v>7</v>
      </c>
    </row>
    <row r="6128" s="1" customFormat="1" customHeight="1" spans="1:6">
      <c r="A6128" s="9" t="str">
        <f>"10120520506"</f>
        <v>10120520506</v>
      </c>
      <c r="B6128" s="10">
        <v>42.39</v>
      </c>
      <c r="C6128" s="9"/>
      <c r="D6128" s="9">
        <f t="shared" si="95"/>
        <v>42.39</v>
      </c>
      <c r="E6128" s="11"/>
      <c r="F6128" s="9"/>
    </row>
    <row r="6129" s="1" customFormat="1" customHeight="1" spans="1:6">
      <c r="A6129" s="9" t="str">
        <f>"10360520507"</f>
        <v>10360520507</v>
      </c>
      <c r="B6129" s="10">
        <v>32.62</v>
      </c>
      <c r="C6129" s="9"/>
      <c r="D6129" s="9">
        <f t="shared" si="95"/>
        <v>32.62</v>
      </c>
      <c r="E6129" s="11"/>
      <c r="F6129" s="9"/>
    </row>
    <row r="6130" s="1" customFormat="1" customHeight="1" spans="1:6">
      <c r="A6130" s="9" t="str">
        <f>"10090520508"</f>
        <v>10090520508</v>
      </c>
      <c r="B6130" s="10">
        <v>0</v>
      </c>
      <c r="C6130" s="9"/>
      <c r="D6130" s="9">
        <f t="shared" si="95"/>
        <v>0</v>
      </c>
      <c r="E6130" s="11"/>
      <c r="F6130" s="9" t="s">
        <v>7</v>
      </c>
    </row>
    <row r="6131" s="1" customFormat="1" customHeight="1" spans="1:6">
      <c r="A6131" s="9" t="str">
        <f>"10210520509"</f>
        <v>10210520509</v>
      </c>
      <c r="B6131" s="10">
        <v>42.72</v>
      </c>
      <c r="C6131" s="9"/>
      <c r="D6131" s="9">
        <f t="shared" si="95"/>
        <v>42.72</v>
      </c>
      <c r="E6131" s="11"/>
      <c r="F6131" s="9"/>
    </row>
    <row r="6132" s="1" customFormat="1" customHeight="1" spans="1:6">
      <c r="A6132" s="9" t="str">
        <f>"10360520510"</f>
        <v>10360520510</v>
      </c>
      <c r="B6132" s="10">
        <v>45.57</v>
      </c>
      <c r="C6132" s="9"/>
      <c r="D6132" s="9">
        <f t="shared" si="95"/>
        <v>45.57</v>
      </c>
      <c r="E6132" s="11"/>
      <c r="F6132" s="9"/>
    </row>
    <row r="6133" s="1" customFormat="1" customHeight="1" spans="1:6">
      <c r="A6133" s="9" t="str">
        <f>"10360520511"</f>
        <v>10360520511</v>
      </c>
      <c r="B6133" s="10">
        <v>35.54</v>
      </c>
      <c r="C6133" s="9"/>
      <c r="D6133" s="9">
        <f t="shared" si="95"/>
        <v>35.54</v>
      </c>
      <c r="E6133" s="11"/>
      <c r="F6133" s="9"/>
    </row>
    <row r="6134" s="1" customFormat="1" customHeight="1" spans="1:6">
      <c r="A6134" s="9" t="str">
        <f>"10360520512"</f>
        <v>10360520512</v>
      </c>
      <c r="B6134" s="10">
        <v>40.64</v>
      </c>
      <c r="C6134" s="9"/>
      <c r="D6134" s="9">
        <f t="shared" si="95"/>
        <v>40.64</v>
      </c>
      <c r="E6134" s="11"/>
      <c r="F6134" s="9"/>
    </row>
    <row r="6135" s="1" customFormat="1" customHeight="1" spans="1:6">
      <c r="A6135" s="9" t="str">
        <f>"10380520513"</f>
        <v>10380520513</v>
      </c>
      <c r="B6135" s="10">
        <v>50.21</v>
      </c>
      <c r="C6135" s="9"/>
      <c r="D6135" s="9">
        <f t="shared" si="95"/>
        <v>50.21</v>
      </c>
      <c r="E6135" s="11"/>
      <c r="F6135" s="9"/>
    </row>
    <row r="6136" s="1" customFormat="1" customHeight="1" spans="1:6">
      <c r="A6136" s="9" t="str">
        <f>"10470520514"</f>
        <v>10470520514</v>
      </c>
      <c r="B6136" s="10">
        <v>40.16</v>
      </c>
      <c r="C6136" s="9"/>
      <c r="D6136" s="9">
        <f t="shared" si="95"/>
        <v>40.16</v>
      </c>
      <c r="E6136" s="11"/>
      <c r="F6136" s="9"/>
    </row>
    <row r="6137" s="1" customFormat="1" customHeight="1" spans="1:6">
      <c r="A6137" s="9" t="str">
        <f>"10530520515"</f>
        <v>10530520515</v>
      </c>
      <c r="B6137" s="10">
        <v>39.96</v>
      </c>
      <c r="C6137" s="9"/>
      <c r="D6137" s="9">
        <f t="shared" si="95"/>
        <v>39.96</v>
      </c>
      <c r="E6137" s="11"/>
      <c r="F6137" s="9"/>
    </row>
    <row r="6138" s="1" customFormat="1" customHeight="1" spans="1:6">
      <c r="A6138" s="9" t="str">
        <f>"10110520516"</f>
        <v>10110520516</v>
      </c>
      <c r="B6138" s="10">
        <v>39.56</v>
      </c>
      <c r="C6138" s="9"/>
      <c r="D6138" s="9">
        <f t="shared" si="95"/>
        <v>39.56</v>
      </c>
      <c r="E6138" s="11"/>
      <c r="F6138" s="9"/>
    </row>
    <row r="6139" s="1" customFormat="1" customHeight="1" spans="1:6">
      <c r="A6139" s="9" t="str">
        <f>"10360520517"</f>
        <v>10360520517</v>
      </c>
      <c r="B6139" s="10">
        <v>44.96</v>
      </c>
      <c r="C6139" s="9"/>
      <c r="D6139" s="9">
        <f t="shared" si="95"/>
        <v>44.96</v>
      </c>
      <c r="E6139" s="11"/>
      <c r="F6139" s="9"/>
    </row>
    <row r="6140" s="1" customFormat="1" customHeight="1" spans="1:6">
      <c r="A6140" s="9" t="str">
        <f>"10320520518"</f>
        <v>10320520518</v>
      </c>
      <c r="B6140" s="10">
        <v>0</v>
      </c>
      <c r="C6140" s="9"/>
      <c r="D6140" s="9">
        <f t="shared" si="95"/>
        <v>0</v>
      </c>
      <c r="E6140" s="11"/>
      <c r="F6140" s="9" t="s">
        <v>7</v>
      </c>
    </row>
    <row r="6141" s="1" customFormat="1" customHeight="1" spans="1:6">
      <c r="A6141" s="9" t="str">
        <f>"10320520519"</f>
        <v>10320520519</v>
      </c>
      <c r="B6141" s="10">
        <v>0</v>
      </c>
      <c r="C6141" s="9"/>
      <c r="D6141" s="9">
        <f t="shared" si="95"/>
        <v>0</v>
      </c>
      <c r="E6141" s="11"/>
      <c r="F6141" s="9" t="s">
        <v>7</v>
      </c>
    </row>
    <row r="6142" s="1" customFormat="1" customHeight="1" spans="1:6">
      <c r="A6142" s="9" t="str">
        <f>"10080520520"</f>
        <v>10080520520</v>
      </c>
      <c r="B6142" s="10">
        <v>40.75</v>
      </c>
      <c r="C6142" s="9"/>
      <c r="D6142" s="9">
        <f t="shared" si="95"/>
        <v>40.75</v>
      </c>
      <c r="E6142" s="11"/>
      <c r="F6142" s="9"/>
    </row>
    <row r="6143" s="1" customFormat="1" customHeight="1" spans="1:6">
      <c r="A6143" s="9" t="str">
        <f>"10360520521"</f>
        <v>10360520521</v>
      </c>
      <c r="B6143" s="10">
        <v>0</v>
      </c>
      <c r="C6143" s="9"/>
      <c r="D6143" s="9">
        <f t="shared" si="95"/>
        <v>0</v>
      </c>
      <c r="E6143" s="11"/>
      <c r="F6143" s="9" t="s">
        <v>7</v>
      </c>
    </row>
    <row r="6144" s="1" customFormat="1" customHeight="1" spans="1:6">
      <c r="A6144" s="9" t="str">
        <f>"10060520522"</f>
        <v>10060520522</v>
      </c>
      <c r="B6144" s="10">
        <v>42.24</v>
      </c>
      <c r="C6144" s="9"/>
      <c r="D6144" s="9">
        <f t="shared" si="95"/>
        <v>42.24</v>
      </c>
      <c r="E6144" s="11"/>
      <c r="F6144" s="9"/>
    </row>
    <row r="6145" s="1" customFormat="1" customHeight="1" spans="1:6">
      <c r="A6145" s="9" t="str">
        <f>"10210520523"</f>
        <v>10210520523</v>
      </c>
      <c r="B6145" s="10">
        <v>0</v>
      </c>
      <c r="C6145" s="9"/>
      <c r="D6145" s="9">
        <f t="shared" si="95"/>
        <v>0</v>
      </c>
      <c r="E6145" s="11"/>
      <c r="F6145" s="9" t="s">
        <v>7</v>
      </c>
    </row>
    <row r="6146" s="1" customFormat="1" customHeight="1" spans="1:6">
      <c r="A6146" s="9" t="str">
        <f>"10110520524"</f>
        <v>10110520524</v>
      </c>
      <c r="B6146" s="10">
        <v>0</v>
      </c>
      <c r="C6146" s="9"/>
      <c r="D6146" s="9">
        <f t="shared" si="95"/>
        <v>0</v>
      </c>
      <c r="E6146" s="11"/>
      <c r="F6146" s="9" t="s">
        <v>7</v>
      </c>
    </row>
    <row r="6147" s="1" customFormat="1" customHeight="1" spans="1:6">
      <c r="A6147" s="9" t="str">
        <f>"10300520525"</f>
        <v>10300520525</v>
      </c>
      <c r="B6147" s="10">
        <v>36.22</v>
      </c>
      <c r="C6147" s="9"/>
      <c r="D6147" s="9">
        <f t="shared" ref="D6147:D6210" si="96">SUM(B6147:C6147)</f>
        <v>36.22</v>
      </c>
      <c r="E6147" s="11"/>
      <c r="F6147" s="9"/>
    </row>
    <row r="6148" s="1" customFormat="1" customHeight="1" spans="1:6">
      <c r="A6148" s="9" t="str">
        <f>"10360520526"</f>
        <v>10360520526</v>
      </c>
      <c r="B6148" s="10">
        <v>45.38</v>
      </c>
      <c r="C6148" s="9"/>
      <c r="D6148" s="9">
        <f t="shared" si="96"/>
        <v>45.38</v>
      </c>
      <c r="E6148" s="11"/>
      <c r="F6148" s="9"/>
    </row>
    <row r="6149" s="1" customFormat="1" customHeight="1" spans="1:6">
      <c r="A6149" s="9" t="str">
        <f>"10060520527"</f>
        <v>10060520527</v>
      </c>
      <c r="B6149" s="10">
        <v>0</v>
      </c>
      <c r="C6149" s="9"/>
      <c r="D6149" s="9">
        <f t="shared" si="96"/>
        <v>0</v>
      </c>
      <c r="E6149" s="11"/>
      <c r="F6149" s="9" t="s">
        <v>7</v>
      </c>
    </row>
    <row r="6150" s="1" customFormat="1" customHeight="1" spans="1:6">
      <c r="A6150" s="9" t="str">
        <f>"10360520528"</f>
        <v>10360520528</v>
      </c>
      <c r="B6150" s="10">
        <v>32.75</v>
      </c>
      <c r="C6150" s="9"/>
      <c r="D6150" s="9">
        <f t="shared" si="96"/>
        <v>32.75</v>
      </c>
      <c r="E6150" s="11"/>
      <c r="F6150" s="9"/>
    </row>
    <row r="6151" s="1" customFormat="1" customHeight="1" spans="1:6">
      <c r="A6151" s="9" t="str">
        <f>"10360520529"</f>
        <v>10360520529</v>
      </c>
      <c r="B6151" s="10">
        <v>38.86</v>
      </c>
      <c r="C6151" s="9"/>
      <c r="D6151" s="9">
        <f t="shared" si="96"/>
        <v>38.86</v>
      </c>
      <c r="E6151" s="11"/>
      <c r="F6151" s="9"/>
    </row>
    <row r="6152" s="1" customFormat="1" customHeight="1" spans="1:6">
      <c r="A6152" s="9" t="str">
        <f>"10060520530"</f>
        <v>10060520530</v>
      </c>
      <c r="B6152" s="10">
        <v>0</v>
      </c>
      <c r="C6152" s="9"/>
      <c r="D6152" s="9">
        <f t="shared" si="96"/>
        <v>0</v>
      </c>
      <c r="E6152" s="11"/>
      <c r="F6152" s="9" t="s">
        <v>7</v>
      </c>
    </row>
    <row r="6153" s="1" customFormat="1" customHeight="1" spans="1:6">
      <c r="A6153" s="9" t="str">
        <f>"10210520601"</f>
        <v>10210520601</v>
      </c>
      <c r="B6153" s="10">
        <v>35.03</v>
      </c>
      <c r="C6153" s="9"/>
      <c r="D6153" s="9">
        <f t="shared" si="96"/>
        <v>35.03</v>
      </c>
      <c r="E6153" s="11"/>
      <c r="F6153" s="9"/>
    </row>
    <row r="6154" s="1" customFormat="1" customHeight="1" spans="1:6">
      <c r="A6154" s="9" t="str">
        <f>"10080520602"</f>
        <v>10080520602</v>
      </c>
      <c r="B6154" s="10">
        <v>41.09</v>
      </c>
      <c r="C6154" s="9"/>
      <c r="D6154" s="9">
        <f t="shared" si="96"/>
        <v>41.09</v>
      </c>
      <c r="E6154" s="11"/>
      <c r="F6154" s="9"/>
    </row>
    <row r="6155" s="1" customFormat="1" customHeight="1" spans="1:6">
      <c r="A6155" s="9" t="str">
        <f>"20270520603"</f>
        <v>20270520603</v>
      </c>
      <c r="B6155" s="10">
        <v>0</v>
      </c>
      <c r="C6155" s="9"/>
      <c r="D6155" s="9">
        <f t="shared" si="96"/>
        <v>0</v>
      </c>
      <c r="E6155" s="11"/>
      <c r="F6155" s="9" t="s">
        <v>7</v>
      </c>
    </row>
    <row r="6156" s="1" customFormat="1" customHeight="1" spans="1:6">
      <c r="A6156" s="9" t="str">
        <f>"10360520604"</f>
        <v>10360520604</v>
      </c>
      <c r="B6156" s="10">
        <v>48.06</v>
      </c>
      <c r="C6156" s="9"/>
      <c r="D6156" s="9">
        <f t="shared" si="96"/>
        <v>48.06</v>
      </c>
      <c r="E6156" s="11"/>
      <c r="F6156" s="9"/>
    </row>
    <row r="6157" s="1" customFormat="1" customHeight="1" spans="1:6">
      <c r="A6157" s="9" t="str">
        <f>"10110520605"</f>
        <v>10110520605</v>
      </c>
      <c r="B6157" s="10">
        <v>42.14</v>
      </c>
      <c r="C6157" s="9"/>
      <c r="D6157" s="9">
        <f t="shared" si="96"/>
        <v>42.14</v>
      </c>
      <c r="E6157" s="11"/>
      <c r="F6157" s="9"/>
    </row>
    <row r="6158" s="1" customFormat="1" customHeight="1" spans="1:6">
      <c r="A6158" s="9" t="str">
        <f>"10360520606"</f>
        <v>10360520606</v>
      </c>
      <c r="B6158" s="10">
        <v>39.73</v>
      </c>
      <c r="C6158" s="9"/>
      <c r="D6158" s="9">
        <f t="shared" si="96"/>
        <v>39.73</v>
      </c>
      <c r="E6158" s="11"/>
      <c r="F6158" s="9"/>
    </row>
    <row r="6159" s="1" customFormat="1" customHeight="1" spans="1:6">
      <c r="A6159" s="9" t="str">
        <f>"10170520607"</f>
        <v>10170520607</v>
      </c>
      <c r="B6159" s="10">
        <v>37.51</v>
      </c>
      <c r="C6159" s="9"/>
      <c r="D6159" s="9">
        <f t="shared" si="96"/>
        <v>37.51</v>
      </c>
      <c r="E6159" s="11"/>
      <c r="F6159" s="9"/>
    </row>
    <row r="6160" s="1" customFormat="1" customHeight="1" spans="1:6">
      <c r="A6160" s="9" t="str">
        <f>"10040520608"</f>
        <v>10040520608</v>
      </c>
      <c r="B6160" s="10">
        <v>36.64</v>
      </c>
      <c r="C6160" s="9"/>
      <c r="D6160" s="9">
        <f t="shared" si="96"/>
        <v>36.64</v>
      </c>
      <c r="E6160" s="11"/>
      <c r="F6160" s="9"/>
    </row>
    <row r="6161" s="1" customFormat="1" customHeight="1" spans="1:6">
      <c r="A6161" s="9" t="str">
        <f>"10110520609"</f>
        <v>10110520609</v>
      </c>
      <c r="B6161" s="10">
        <v>44.94</v>
      </c>
      <c r="C6161" s="9"/>
      <c r="D6161" s="9">
        <f t="shared" si="96"/>
        <v>44.94</v>
      </c>
      <c r="E6161" s="11"/>
      <c r="F6161" s="9"/>
    </row>
    <row r="6162" s="1" customFormat="1" customHeight="1" spans="1:6">
      <c r="A6162" s="9" t="str">
        <f>"10360520610"</f>
        <v>10360520610</v>
      </c>
      <c r="B6162" s="10">
        <v>38.24</v>
      </c>
      <c r="C6162" s="9"/>
      <c r="D6162" s="9">
        <f t="shared" si="96"/>
        <v>38.24</v>
      </c>
      <c r="E6162" s="11"/>
      <c r="F6162" s="9"/>
    </row>
    <row r="6163" s="1" customFormat="1" customHeight="1" spans="1:6">
      <c r="A6163" s="9" t="str">
        <f>"10160520611"</f>
        <v>10160520611</v>
      </c>
      <c r="B6163" s="10">
        <v>0</v>
      </c>
      <c r="C6163" s="9"/>
      <c r="D6163" s="9">
        <f t="shared" si="96"/>
        <v>0</v>
      </c>
      <c r="E6163" s="11"/>
      <c r="F6163" s="9" t="s">
        <v>7</v>
      </c>
    </row>
    <row r="6164" s="1" customFormat="1" customHeight="1" spans="1:6">
      <c r="A6164" s="9" t="str">
        <f>"10280520612"</f>
        <v>10280520612</v>
      </c>
      <c r="B6164" s="10">
        <v>36.86</v>
      </c>
      <c r="C6164" s="9"/>
      <c r="D6164" s="9">
        <f t="shared" si="96"/>
        <v>36.86</v>
      </c>
      <c r="E6164" s="11"/>
      <c r="F6164" s="9"/>
    </row>
    <row r="6165" s="1" customFormat="1" customHeight="1" spans="1:6">
      <c r="A6165" s="9" t="str">
        <f>"10080520613"</f>
        <v>10080520613</v>
      </c>
      <c r="B6165" s="10">
        <v>23.67</v>
      </c>
      <c r="C6165" s="9"/>
      <c r="D6165" s="9">
        <f t="shared" si="96"/>
        <v>23.67</v>
      </c>
      <c r="E6165" s="11"/>
      <c r="F6165" s="9"/>
    </row>
    <row r="6166" s="1" customFormat="1" customHeight="1" spans="1:6">
      <c r="A6166" s="9" t="str">
        <f>"10060520614"</f>
        <v>10060520614</v>
      </c>
      <c r="B6166" s="10">
        <v>40.56</v>
      </c>
      <c r="C6166" s="9"/>
      <c r="D6166" s="9">
        <f t="shared" si="96"/>
        <v>40.56</v>
      </c>
      <c r="E6166" s="11"/>
      <c r="F6166" s="9"/>
    </row>
    <row r="6167" s="1" customFormat="1" customHeight="1" spans="1:6">
      <c r="A6167" s="9" t="str">
        <f>"10440520615"</f>
        <v>10440520615</v>
      </c>
      <c r="B6167" s="10">
        <v>0</v>
      </c>
      <c r="C6167" s="9"/>
      <c r="D6167" s="9">
        <f t="shared" si="96"/>
        <v>0</v>
      </c>
      <c r="E6167" s="11"/>
      <c r="F6167" s="9" t="s">
        <v>7</v>
      </c>
    </row>
    <row r="6168" s="1" customFormat="1" customHeight="1" spans="1:6">
      <c r="A6168" s="9" t="str">
        <f>"10130520616"</f>
        <v>10130520616</v>
      </c>
      <c r="B6168" s="10">
        <v>0</v>
      </c>
      <c r="C6168" s="9"/>
      <c r="D6168" s="9">
        <f t="shared" si="96"/>
        <v>0</v>
      </c>
      <c r="E6168" s="11"/>
      <c r="F6168" s="9" t="s">
        <v>7</v>
      </c>
    </row>
    <row r="6169" s="1" customFormat="1" customHeight="1" spans="1:6">
      <c r="A6169" s="9" t="str">
        <f>"10290520617"</f>
        <v>10290520617</v>
      </c>
      <c r="B6169" s="10">
        <v>42.16</v>
      </c>
      <c r="C6169" s="9"/>
      <c r="D6169" s="9">
        <f t="shared" si="96"/>
        <v>42.16</v>
      </c>
      <c r="E6169" s="11"/>
      <c r="F6169" s="9"/>
    </row>
    <row r="6170" s="1" customFormat="1" customHeight="1" spans="1:6">
      <c r="A6170" s="9" t="str">
        <f>"10200520618"</f>
        <v>10200520618</v>
      </c>
      <c r="B6170" s="10">
        <v>0</v>
      </c>
      <c r="C6170" s="9"/>
      <c r="D6170" s="9">
        <f t="shared" si="96"/>
        <v>0</v>
      </c>
      <c r="E6170" s="11"/>
      <c r="F6170" s="9" t="s">
        <v>7</v>
      </c>
    </row>
    <row r="6171" s="1" customFormat="1" customHeight="1" spans="1:6">
      <c r="A6171" s="9" t="str">
        <f>"10360520619"</f>
        <v>10360520619</v>
      </c>
      <c r="B6171" s="10">
        <v>0</v>
      </c>
      <c r="C6171" s="9"/>
      <c r="D6171" s="9">
        <f t="shared" si="96"/>
        <v>0</v>
      </c>
      <c r="E6171" s="11"/>
      <c r="F6171" s="9" t="s">
        <v>7</v>
      </c>
    </row>
    <row r="6172" s="1" customFormat="1" customHeight="1" spans="1:6">
      <c r="A6172" s="9" t="str">
        <f>"10480520620"</f>
        <v>10480520620</v>
      </c>
      <c r="B6172" s="10">
        <v>41.03</v>
      </c>
      <c r="C6172" s="9"/>
      <c r="D6172" s="9">
        <f t="shared" si="96"/>
        <v>41.03</v>
      </c>
      <c r="E6172" s="11"/>
      <c r="F6172" s="9"/>
    </row>
    <row r="6173" s="1" customFormat="1" customHeight="1" spans="1:6">
      <c r="A6173" s="9" t="str">
        <f>"10300520621"</f>
        <v>10300520621</v>
      </c>
      <c r="B6173" s="10">
        <v>40.08</v>
      </c>
      <c r="C6173" s="9"/>
      <c r="D6173" s="9">
        <f t="shared" si="96"/>
        <v>40.08</v>
      </c>
      <c r="E6173" s="11"/>
      <c r="F6173" s="9"/>
    </row>
    <row r="6174" s="1" customFormat="1" customHeight="1" spans="1:6">
      <c r="A6174" s="9" t="str">
        <f>"10270520622"</f>
        <v>10270520622</v>
      </c>
      <c r="B6174" s="10">
        <v>44.84</v>
      </c>
      <c r="C6174" s="9"/>
      <c r="D6174" s="9">
        <f t="shared" si="96"/>
        <v>44.84</v>
      </c>
      <c r="E6174" s="11"/>
      <c r="F6174" s="9"/>
    </row>
    <row r="6175" s="1" customFormat="1" customHeight="1" spans="1:6">
      <c r="A6175" s="9" t="str">
        <f>"10360520623"</f>
        <v>10360520623</v>
      </c>
      <c r="B6175" s="10">
        <v>0</v>
      </c>
      <c r="C6175" s="9"/>
      <c r="D6175" s="9">
        <f t="shared" si="96"/>
        <v>0</v>
      </c>
      <c r="E6175" s="11"/>
      <c r="F6175" s="9" t="s">
        <v>7</v>
      </c>
    </row>
    <row r="6176" s="1" customFormat="1" customHeight="1" spans="1:6">
      <c r="A6176" s="9" t="str">
        <f>"10210520624"</f>
        <v>10210520624</v>
      </c>
      <c r="B6176" s="10">
        <v>57.15</v>
      </c>
      <c r="C6176" s="9"/>
      <c r="D6176" s="9">
        <f t="shared" si="96"/>
        <v>57.15</v>
      </c>
      <c r="E6176" s="11"/>
      <c r="F6176" s="9"/>
    </row>
    <row r="6177" s="1" customFormat="1" customHeight="1" spans="1:6">
      <c r="A6177" s="9" t="str">
        <f>"10530520625"</f>
        <v>10530520625</v>
      </c>
      <c r="B6177" s="10">
        <v>43.63</v>
      </c>
      <c r="C6177" s="9"/>
      <c r="D6177" s="9">
        <f t="shared" si="96"/>
        <v>43.63</v>
      </c>
      <c r="E6177" s="11"/>
      <c r="F6177" s="9"/>
    </row>
    <row r="6178" s="1" customFormat="1" customHeight="1" spans="1:6">
      <c r="A6178" s="9" t="str">
        <f>"10060520626"</f>
        <v>10060520626</v>
      </c>
      <c r="B6178" s="10">
        <v>31.24</v>
      </c>
      <c r="C6178" s="9"/>
      <c r="D6178" s="9">
        <f t="shared" si="96"/>
        <v>31.24</v>
      </c>
      <c r="E6178" s="11"/>
      <c r="F6178" s="9"/>
    </row>
    <row r="6179" s="1" customFormat="1" customHeight="1" spans="1:6">
      <c r="A6179" s="9" t="str">
        <f>"10360520627"</f>
        <v>10360520627</v>
      </c>
      <c r="B6179" s="10">
        <v>44.84</v>
      </c>
      <c r="C6179" s="9"/>
      <c r="D6179" s="9">
        <f t="shared" si="96"/>
        <v>44.84</v>
      </c>
      <c r="E6179" s="11"/>
      <c r="F6179" s="9"/>
    </row>
    <row r="6180" s="1" customFormat="1" customHeight="1" spans="1:6">
      <c r="A6180" s="9" t="str">
        <f>"10300520628"</f>
        <v>10300520628</v>
      </c>
      <c r="B6180" s="10">
        <v>0</v>
      </c>
      <c r="C6180" s="9"/>
      <c r="D6180" s="9">
        <f t="shared" si="96"/>
        <v>0</v>
      </c>
      <c r="E6180" s="11"/>
      <c r="F6180" s="9" t="s">
        <v>7</v>
      </c>
    </row>
    <row r="6181" s="1" customFormat="1" customHeight="1" spans="1:6">
      <c r="A6181" s="9" t="str">
        <f>"10300520629"</f>
        <v>10300520629</v>
      </c>
      <c r="B6181" s="10">
        <v>39.08</v>
      </c>
      <c r="C6181" s="9"/>
      <c r="D6181" s="9">
        <f t="shared" si="96"/>
        <v>39.08</v>
      </c>
      <c r="E6181" s="11"/>
      <c r="F6181" s="9"/>
    </row>
    <row r="6182" s="1" customFormat="1" customHeight="1" spans="1:6">
      <c r="A6182" s="9" t="str">
        <f>"10020520630"</f>
        <v>10020520630</v>
      </c>
      <c r="B6182" s="10">
        <v>39.71</v>
      </c>
      <c r="C6182" s="9"/>
      <c r="D6182" s="9">
        <f t="shared" si="96"/>
        <v>39.71</v>
      </c>
      <c r="E6182" s="11"/>
      <c r="F6182" s="9"/>
    </row>
    <row r="6183" s="1" customFormat="1" customHeight="1" spans="1:6">
      <c r="A6183" s="9" t="str">
        <f>"10530520701"</f>
        <v>10530520701</v>
      </c>
      <c r="B6183" s="10">
        <v>35.61</v>
      </c>
      <c r="C6183" s="9"/>
      <c r="D6183" s="9">
        <f t="shared" si="96"/>
        <v>35.61</v>
      </c>
      <c r="E6183" s="11"/>
      <c r="F6183" s="9"/>
    </row>
    <row r="6184" s="1" customFormat="1" customHeight="1" spans="1:6">
      <c r="A6184" s="9" t="str">
        <f>"10510520702"</f>
        <v>10510520702</v>
      </c>
      <c r="B6184" s="10">
        <v>34.85</v>
      </c>
      <c r="C6184" s="9"/>
      <c r="D6184" s="9">
        <f t="shared" si="96"/>
        <v>34.85</v>
      </c>
      <c r="E6184" s="11"/>
      <c r="F6184" s="9"/>
    </row>
    <row r="6185" s="1" customFormat="1" customHeight="1" spans="1:6">
      <c r="A6185" s="9" t="str">
        <f>"10520520703"</f>
        <v>10520520703</v>
      </c>
      <c r="B6185" s="10">
        <v>37.98</v>
      </c>
      <c r="C6185" s="9">
        <v>10</v>
      </c>
      <c r="D6185" s="9">
        <f t="shared" si="96"/>
        <v>47.98</v>
      </c>
      <c r="E6185" s="12" t="s">
        <v>8</v>
      </c>
      <c r="F6185" s="9"/>
    </row>
    <row r="6186" s="1" customFormat="1" customHeight="1" spans="1:6">
      <c r="A6186" s="9" t="str">
        <f>"10390520704"</f>
        <v>10390520704</v>
      </c>
      <c r="B6186" s="10">
        <v>36.61</v>
      </c>
      <c r="C6186" s="9"/>
      <c r="D6186" s="9">
        <f t="shared" si="96"/>
        <v>36.61</v>
      </c>
      <c r="E6186" s="11"/>
      <c r="F6186" s="9"/>
    </row>
    <row r="6187" s="1" customFormat="1" customHeight="1" spans="1:6">
      <c r="A6187" s="9" t="str">
        <f>"10360520705"</f>
        <v>10360520705</v>
      </c>
      <c r="B6187" s="10">
        <v>0</v>
      </c>
      <c r="C6187" s="9"/>
      <c r="D6187" s="9">
        <f t="shared" si="96"/>
        <v>0</v>
      </c>
      <c r="E6187" s="11"/>
      <c r="F6187" s="9" t="s">
        <v>7</v>
      </c>
    </row>
    <row r="6188" s="1" customFormat="1" customHeight="1" spans="1:6">
      <c r="A6188" s="9" t="str">
        <f>"10110520706"</f>
        <v>10110520706</v>
      </c>
      <c r="B6188" s="10">
        <v>32.51</v>
      </c>
      <c r="C6188" s="9"/>
      <c r="D6188" s="9">
        <f t="shared" si="96"/>
        <v>32.51</v>
      </c>
      <c r="E6188" s="11"/>
      <c r="F6188" s="9"/>
    </row>
    <row r="6189" s="1" customFormat="1" customHeight="1" spans="1:6">
      <c r="A6189" s="9" t="str">
        <f>"10290520707"</f>
        <v>10290520707</v>
      </c>
      <c r="B6189" s="10">
        <v>43.52</v>
      </c>
      <c r="C6189" s="9"/>
      <c r="D6189" s="9">
        <f t="shared" si="96"/>
        <v>43.52</v>
      </c>
      <c r="E6189" s="11"/>
      <c r="F6189" s="9"/>
    </row>
    <row r="6190" s="1" customFormat="1" customHeight="1" spans="1:6">
      <c r="A6190" s="9" t="str">
        <f>"10330520708"</f>
        <v>10330520708</v>
      </c>
      <c r="B6190" s="10">
        <v>34.24</v>
      </c>
      <c r="C6190" s="9"/>
      <c r="D6190" s="9">
        <f t="shared" si="96"/>
        <v>34.24</v>
      </c>
      <c r="E6190" s="11"/>
      <c r="F6190" s="9"/>
    </row>
    <row r="6191" s="1" customFormat="1" customHeight="1" spans="1:6">
      <c r="A6191" s="9" t="str">
        <f>"10360520709"</f>
        <v>10360520709</v>
      </c>
      <c r="B6191" s="10">
        <v>40.91</v>
      </c>
      <c r="C6191" s="9"/>
      <c r="D6191" s="9">
        <f t="shared" si="96"/>
        <v>40.91</v>
      </c>
      <c r="E6191" s="11"/>
      <c r="F6191" s="9"/>
    </row>
    <row r="6192" s="1" customFormat="1" customHeight="1" spans="1:6">
      <c r="A6192" s="9" t="str">
        <f>"10360520710"</f>
        <v>10360520710</v>
      </c>
      <c r="B6192" s="10">
        <v>40.59</v>
      </c>
      <c r="C6192" s="9"/>
      <c r="D6192" s="9">
        <f t="shared" si="96"/>
        <v>40.59</v>
      </c>
      <c r="E6192" s="11"/>
      <c r="F6192" s="9"/>
    </row>
    <row r="6193" s="1" customFormat="1" customHeight="1" spans="1:6">
      <c r="A6193" s="9" t="str">
        <f>"10380520711"</f>
        <v>10380520711</v>
      </c>
      <c r="B6193" s="10">
        <v>0</v>
      </c>
      <c r="C6193" s="9"/>
      <c r="D6193" s="9">
        <f t="shared" si="96"/>
        <v>0</v>
      </c>
      <c r="E6193" s="11"/>
      <c r="F6193" s="9" t="s">
        <v>7</v>
      </c>
    </row>
    <row r="6194" s="1" customFormat="1" customHeight="1" spans="1:6">
      <c r="A6194" s="9" t="str">
        <f>"10280520712"</f>
        <v>10280520712</v>
      </c>
      <c r="B6194" s="10">
        <v>45.69</v>
      </c>
      <c r="C6194" s="9"/>
      <c r="D6194" s="9">
        <f t="shared" si="96"/>
        <v>45.69</v>
      </c>
      <c r="E6194" s="11"/>
      <c r="F6194" s="9"/>
    </row>
    <row r="6195" s="1" customFormat="1" customHeight="1" spans="1:6">
      <c r="A6195" s="9" t="str">
        <f>"10330520713"</f>
        <v>10330520713</v>
      </c>
      <c r="B6195" s="10">
        <v>41.51</v>
      </c>
      <c r="C6195" s="9"/>
      <c r="D6195" s="9">
        <f t="shared" si="96"/>
        <v>41.51</v>
      </c>
      <c r="E6195" s="11"/>
      <c r="F6195" s="9"/>
    </row>
    <row r="6196" s="1" customFormat="1" customHeight="1" spans="1:6">
      <c r="A6196" s="9" t="str">
        <f>"10170520714"</f>
        <v>10170520714</v>
      </c>
      <c r="B6196" s="10">
        <v>41.24</v>
      </c>
      <c r="C6196" s="9"/>
      <c r="D6196" s="9">
        <f t="shared" si="96"/>
        <v>41.24</v>
      </c>
      <c r="E6196" s="11"/>
      <c r="F6196" s="9"/>
    </row>
    <row r="6197" s="1" customFormat="1" customHeight="1" spans="1:6">
      <c r="A6197" s="9" t="str">
        <f>"10360520715"</f>
        <v>10360520715</v>
      </c>
      <c r="B6197" s="10">
        <v>38.14</v>
      </c>
      <c r="C6197" s="9"/>
      <c r="D6197" s="9">
        <f t="shared" si="96"/>
        <v>38.14</v>
      </c>
      <c r="E6197" s="11"/>
      <c r="F6197" s="9"/>
    </row>
    <row r="6198" s="1" customFormat="1" customHeight="1" spans="1:6">
      <c r="A6198" s="9" t="str">
        <f>"10200520716"</f>
        <v>10200520716</v>
      </c>
      <c r="B6198" s="10">
        <v>0</v>
      </c>
      <c r="C6198" s="9"/>
      <c r="D6198" s="9">
        <f t="shared" si="96"/>
        <v>0</v>
      </c>
      <c r="E6198" s="11"/>
      <c r="F6198" s="9" t="s">
        <v>7</v>
      </c>
    </row>
    <row r="6199" s="1" customFormat="1" customHeight="1" spans="1:6">
      <c r="A6199" s="9" t="str">
        <f>"10310520717"</f>
        <v>10310520717</v>
      </c>
      <c r="B6199" s="10">
        <v>43.96</v>
      </c>
      <c r="C6199" s="9"/>
      <c r="D6199" s="9">
        <f t="shared" si="96"/>
        <v>43.96</v>
      </c>
      <c r="E6199" s="11"/>
      <c r="F6199" s="9"/>
    </row>
    <row r="6200" s="1" customFormat="1" customHeight="1" spans="1:6">
      <c r="A6200" s="9" t="str">
        <f>"10450520718"</f>
        <v>10450520718</v>
      </c>
      <c r="B6200" s="10">
        <v>42.48</v>
      </c>
      <c r="C6200" s="9"/>
      <c r="D6200" s="9">
        <f t="shared" si="96"/>
        <v>42.48</v>
      </c>
      <c r="E6200" s="11"/>
      <c r="F6200" s="9"/>
    </row>
    <row r="6201" s="1" customFormat="1" customHeight="1" spans="1:6">
      <c r="A6201" s="9" t="str">
        <f>"10350520719"</f>
        <v>10350520719</v>
      </c>
      <c r="B6201" s="10">
        <v>42.79</v>
      </c>
      <c r="C6201" s="9"/>
      <c r="D6201" s="9">
        <f t="shared" si="96"/>
        <v>42.79</v>
      </c>
      <c r="E6201" s="11"/>
      <c r="F6201" s="9"/>
    </row>
    <row r="6202" s="1" customFormat="1" customHeight="1" spans="1:6">
      <c r="A6202" s="9" t="str">
        <f>"20270520720"</f>
        <v>20270520720</v>
      </c>
      <c r="B6202" s="10">
        <v>44.63</v>
      </c>
      <c r="C6202" s="9"/>
      <c r="D6202" s="9">
        <f t="shared" si="96"/>
        <v>44.63</v>
      </c>
      <c r="E6202" s="11"/>
      <c r="F6202" s="9"/>
    </row>
    <row r="6203" s="1" customFormat="1" customHeight="1" spans="1:6">
      <c r="A6203" s="9" t="str">
        <f>"10300520721"</f>
        <v>10300520721</v>
      </c>
      <c r="B6203" s="10">
        <v>45.3</v>
      </c>
      <c r="C6203" s="9"/>
      <c r="D6203" s="9">
        <f t="shared" si="96"/>
        <v>45.3</v>
      </c>
      <c r="E6203" s="11"/>
      <c r="F6203" s="9"/>
    </row>
    <row r="6204" s="1" customFormat="1" customHeight="1" spans="1:6">
      <c r="A6204" s="9" t="str">
        <f>"10330520722"</f>
        <v>10330520722</v>
      </c>
      <c r="B6204" s="10">
        <v>40.1</v>
      </c>
      <c r="C6204" s="9"/>
      <c r="D6204" s="9">
        <f t="shared" si="96"/>
        <v>40.1</v>
      </c>
      <c r="E6204" s="11"/>
      <c r="F6204" s="9"/>
    </row>
    <row r="6205" s="1" customFormat="1" customHeight="1" spans="1:6">
      <c r="A6205" s="9" t="str">
        <f>"10170520723"</f>
        <v>10170520723</v>
      </c>
      <c r="B6205" s="10">
        <v>40.58</v>
      </c>
      <c r="C6205" s="9"/>
      <c r="D6205" s="9">
        <f t="shared" si="96"/>
        <v>40.58</v>
      </c>
      <c r="E6205" s="11"/>
      <c r="F6205" s="9"/>
    </row>
    <row r="6206" s="1" customFormat="1" customHeight="1" spans="1:6">
      <c r="A6206" s="9" t="str">
        <f>"10500520724"</f>
        <v>10500520724</v>
      </c>
      <c r="B6206" s="10">
        <v>31.63</v>
      </c>
      <c r="C6206" s="9"/>
      <c r="D6206" s="9">
        <f t="shared" si="96"/>
        <v>31.63</v>
      </c>
      <c r="E6206" s="11"/>
      <c r="F6206" s="9"/>
    </row>
    <row r="6207" s="1" customFormat="1" customHeight="1" spans="1:6">
      <c r="A6207" s="9" t="str">
        <f>"10270520725"</f>
        <v>10270520725</v>
      </c>
      <c r="B6207" s="10">
        <v>0</v>
      </c>
      <c r="C6207" s="9"/>
      <c r="D6207" s="9">
        <f t="shared" si="96"/>
        <v>0</v>
      </c>
      <c r="E6207" s="11"/>
      <c r="F6207" s="9" t="s">
        <v>7</v>
      </c>
    </row>
    <row r="6208" s="1" customFormat="1" customHeight="1" spans="1:6">
      <c r="A6208" s="9" t="str">
        <f>"10190520726"</f>
        <v>10190520726</v>
      </c>
      <c r="B6208" s="10">
        <v>31.33</v>
      </c>
      <c r="C6208" s="9"/>
      <c r="D6208" s="9">
        <f t="shared" si="96"/>
        <v>31.33</v>
      </c>
      <c r="E6208" s="11"/>
      <c r="F6208" s="9"/>
    </row>
    <row r="6209" s="1" customFormat="1" customHeight="1" spans="1:6">
      <c r="A6209" s="9" t="str">
        <f>"10150520727"</f>
        <v>10150520727</v>
      </c>
      <c r="B6209" s="10">
        <v>34.6</v>
      </c>
      <c r="C6209" s="9"/>
      <c r="D6209" s="9">
        <f t="shared" si="96"/>
        <v>34.6</v>
      </c>
      <c r="E6209" s="11"/>
      <c r="F6209" s="9"/>
    </row>
    <row r="6210" s="1" customFormat="1" customHeight="1" spans="1:6">
      <c r="A6210" s="9" t="str">
        <f>"10020520728"</f>
        <v>10020520728</v>
      </c>
      <c r="B6210" s="10">
        <v>41.2</v>
      </c>
      <c r="C6210" s="9"/>
      <c r="D6210" s="9">
        <f t="shared" si="96"/>
        <v>41.2</v>
      </c>
      <c r="E6210" s="11"/>
      <c r="F6210" s="9"/>
    </row>
    <row r="6211" s="1" customFormat="1" customHeight="1" spans="1:6">
      <c r="A6211" s="9" t="str">
        <f>"10360520729"</f>
        <v>10360520729</v>
      </c>
      <c r="B6211" s="10">
        <v>34.01</v>
      </c>
      <c r="C6211" s="9"/>
      <c r="D6211" s="9">
        <f t="shared" ref="D6211:D6274" si="97">SUM(B6211:C6211)</f>
        <v>34.01</v>
      </c>
      <c r="E6211" s="11"/>
      <c r="F6211" s="9"/>
    </row>
    <row r="6212" s="1" customFormat="1" customHeight="1" spans="1:6">
      <c r="A6212" s="9" t="str">
        <f>"20180520730"</f>
        <v>20180520730</v>
      </c>
      <c r="B6212" s="10">
        <v>41.1</v>
      </c>
      <c r="C6212" s="9"/>
      <c r="D6212" s="9">
        <f t="shared" si="97"/>
        <v>41.1</v>
      </c>
      <c r="E6212" s="11"/>
      <c r="F6212" s="9"/>
    </row>
    <row r="6213" s="1" customFormat="1" customHeight="1" spans="1:6">
      <c r="A6213" s="9" t="str">
        <f>"10360520801"</f>
        <v>10360520801</v>
      </c>
      <c r="B6213" s="10">
        <v>40.08</v>
      </c>
      <c r="C6213" s="9"/>
      <c r="D6213" s="9">
        <f t="shared" si="97"/>
        <v>40.08</v>
      </c>
      <c r="E6213" s="11"/>
      <c r="F6213" s="9"/>
    </row>
    <row r="6214" s="1" customFormat="1" customHeight="1" spans="1:6">
      <c r="A6214" s="9" t="str">
        <f>"10100520802"</f>
        <v>10100520802</v>
      </c>
      <c r="B6214" s="10">
        <v>34.49</v>
      </c>
      <c r="C6214" s="9"/>
      <c r="D6214" s="9">
        <f t="shared" si="97"/>
        <v>34.49</v>
      </c>
      <c r="E6214" s="11"/>
      <c r="F6214" s="9"/>
    </row>
    <row r="6215" s="1" customFormat="1" customHeight="1" spans="1:6">
      <c r="A6215" s="9" t="str">
        <f>"10500520803"</f>
        <v>10500520803</v>
      </c>
      <c r="B6215" s="10">
        <v>0</v>
      </c>
      <c r="C6215" s="9"/>
      <c r="D6215" s="9">
        <f t="shared" si="97"/>
        <v>0</v>
      </c>
      <c r="E6215" s="11"/>
      <c r="F6215" s="9" t="s">
        <v>7</v>
      </c>
    </row>
    <row r="6216" s="1" customFormat="1" customHeight="1" spans="1:6">
      <c r="A6216" s="9" t="str">
        <f>"10020520804"</f>
        <v>10020520804</v>
      </c>
      <c r="B6216" s="10">
        <v>36.7</v>
      </c>
      <c r="C6216" s="9"/>
      <c r="D6216" s="9">
        <f t="shared" si="97"/>
        <v>36.7</v>
      </c>
      <c r="E6216" s="11"/>
      <c r="F6216" s="9"/>
    </row>
    <row r="6217" s="1" customFormat="1" customHeight="1" spans="1:6">
      <c r="A6217" s="9" t="str">
        <f>"10500520805"</f>
        <v>10500520805</v>
      </c>
      <c r="B6217" s="10">
        <v>35.64</v>
      </c>
      <c r="C6217" s="9"/>
      <c r="D6217" s="9">
        <f t="shared" si="97"/>
        <v>35.64</v>
      </c>
      <c r="E6217" s="11"/>
      <c r="F6217" s="9"/>
    </row>
    <row r="6218" s="1" customFormat="1" customHeight="1" spans="1:6">
      <c r="A6218" s="9" t="str">
        <f>"20270520806"</f>
        <v>20270520806</v>
      </c>
      <c r="B6218" s="10">
        <v>42.47</v>
      </c>
      <c r="C6218" s="9"/>
      <c r="D6218" s="9">
        <f t="shared" si="97"/>
        <v>42.47</v>
      </c>
      <c r="E6218" s="11"/>
      <c r="F6218" s="9"/>
    </row>
    <row r="6219" s="1" customFormat="1" customHeight="1" spans="1:6">
      <c r="A6219" s="9" t="str">
        <f>"10300520807"</f>
        <v>10300520807</v>
      </c>
      <c r="B6219" s="10">
        <v>0</v>
      </c>
      <c r="C6219" s="9"/>
      <c r="D6219" s="9">
        <f t="shared" si="97"/>
        <v>0</v>
      </c>
      <c r="E6219" s="11"/>
      <c r="F6219" s="9" t="s">
        <v>7</v>
      </c>
    </row>
    <row r="6220" s="1" customFormat="1" customHeight="1" spans="1:6">
      <c r="A6220" s="9" t="str">
        <f>"10360520808"</f>
        <v>10360520808</v>
      </c>
      <c r="B6220" s="10">
        <v>0</v>
      </c>
      <c r="C6220" s="9"/>
      <c r="D6220" s="9">
        <f t="shared" si="97"/>
        <v>0</v>
      </c>
      <c r="E6220" s="11"/>
      <c r="F6220" s="9" t="s">
        <v>7</v>
      </c>
    </row>
    <row r="6221" s="1" customFormat="1" customHeight="1" spans="1:6">
      <c r="A6221" s="9" t="str">
        <f>"10010520809"</f>
        <v>10010520809</v>
      </c>
      <c r="B6221" s="10">
        <v>37.51</v>
      </c>
      <c r="C6221" s="9"/>
      <c r="D6221" s="9">
        <f t="shared" si="97"/>
        <v>37.51</v>
      </c>
      <c r="E6221" s="11"/>
      <c r="F6221" s="9"/>
    </row>
    <row r="6222" s="1" customFormat="1" customHeight="1" spans="1:6">
      <c r="A6222" s="9" t="str">
        <f>"10530520810"</f>
        <v>10530520810</v>
      </c>
      <c r="B6222" s="10">
        <v>37.2</v>
      </c>
      <c r="C6222" s="9"/>
      <c r="D6222" s="9">
        <f t="shared" si="97"/>
        <v>37.2</v>
      </c>
      <c r="E6222" s="11"/>
      <c r="F6222" s="9"/>
    </row>
    <row r="6223" s="1" customFormat="1" customHeight="1" spans="1:6">
      <c r="A6223" s="9" t="str">
        <f>"10360520811"</f>
        <v>10360520811</v>
      </c>
      <c r="B6223" s="10">
        <v>44.72</v>
      </c>
      <c r="C6223" s="9"/>
      <c r="D6223" s="9">
        <f t="shared" si="97"/>
        <v>44.72</v>
      </c>
      <c r="E6223" s="11"/>
      <c r="F6223" s="9"/>
    </row>
    <row r="6224" s="1" customFormat="1" customHeight="1" spans="1:6">
      <c r="A6224" s="9" t="str">
        <f>"10370520812"</f>
        <v>10370520812</v>
      </c>
      <c r="B6224" s="10">
        <v>38.9</v>
      </c>
      <c r="C6224" s="9"/>
      <c r="D6224" s="9">
        <f t="shared" si="97"/>
        <v>38.9</v>
      </c>
      <c r="E6224" s="11"/>
      <c r="F6224" s="9"/>
    </row>
    <row r="6225" s="1" customFormat="1" customHeight="1" spans="1:6">
      <c r="A6225" s="9" t="str">
        <f>"10330520813"</f>
        <v>10330520813</v>
      </c>
      <c r="B6225" s="10">
        <v>35.75</v>
      </c>
      <c r="C6225" s="9"/>
      <c r="D6225" s="9">
        <f t="shared" si="97"/>
        <v>35.75</v>
      </c>
      <c r="E6225" s="11"/>
      <c r="F6225" s="9"/>
    </row>
    <row r="6226" s="1" customFormat="1" customHeight="1" spans="1:6">
      <c r="A6226" s="9" t="str">
        <f>"10440520814"</f>
        <v>10440520814</v>
      </c>
      <c r="B6226" s="10">
        <v>44.22</v>
      </c>
      <c r="C6226" s="9"/>
      <c r="D6226" s="9">
        <f t="shared" si="97"/>
        <v>44.22</v>
      </c>
      <c r="E6226" s="11"/>
      <c r="F6226" s="9"/>
    </row>
    <row r="6227" s="1" customFormat="1" customHeight="1" spans="1:6">
      <c r="A6227" s="9" t="str">
        <f>"10080520815"</f>
        <v>10080520815</v>
      </c>
      <c r="B6227" s="10">
        <v>42.54</v>
      </c>
      <c r="C6227" s="9"/>
      <c r="D6227" s="9">
        <f t="shared" si="97"/>
        <v>42.54</v>
      </c>
      <c r="E6227" s="11"/>
      <c r="F6227" s="9"/>
    </row>
    <row r="6228" s="1" customFormat="1" customHeight="1" spans="1:6">
      <c r="A6228" s="9" t="str">
        <f>"10160520816"</f>
        <v>10160520816</v>
      </c>
      <c r="B6228" s="10">
        <v>55.59</v>
      </c>
      <c r="C6228" s="9"/>
      <c r="D6228" s="9">
        <f t="shared" si="97"/>
        <v>55.59</v>
      </c>
      <c r="E6228" s="11"/>
      <c r="F6228" s="9"/>
    </row>
    <row r="6229" s="1" customFormat="1" customHeight="1" spans="1:6">
      <c r="A6229" s="9" t="str">
        <f>"10530520817"</f>
        <v>10530520817</v>
      </c>
      <c r="B6229" s="10">
        <v>27.53</v>
      </c>
      <c r="C6229" s="9"/>
      <c r="D6229" s="9">
        <f t="shared" si="97"/>
        <v>27.53</v>
      </c>
      <c r="E6229" s="11"/>
      <c r="F6229" s="9"/>
    </row>
    <row r="6230" s="1" customFormat="1" customHeight="1" spans="1:6">
      <c r="A6230" s="9" t="str">
        <f>"10290520818"</f>
        <v>10290520818</v>
      </c>
      <c r="B6230" s="10">
        <v>45.55</v>
      </c>
      <c r="C6230" s="9"/>
      <c r="D6230" s="9">
        <f t="shared" si="97"/>
        <v>45.55</v>
      </c>
      <c r="E6230" s="11"/>
      <c r="F6230" s="9"/>
    </row>
    <row r="6231" s="1" customFormat="1" customHeight="1" spans="1:6">
      <c r="A6231" s="9" t="str">
        <f>"10360520819"</f>
        <v>10360520819</v>
      </c>
      <c r="B6231" s="10">
        <v>34.85</v>
      </c>
      <c r="C6231" s="9"/>
      <c r="D6231" s="9">
        <f t="shared" si="97"/>
        <v>34.85</v>
      </c>
      <c r="E6231" s="11"/>
      <c r="F6231" s="9"/>
    </row>
    <row r="6232" s="1" customFormat="1" customHeight="1" spans="1:6">
      <c r="A6232" s="9" t="str">
        <f>"10180520820"</f>
        <v>10180520820</v>
      </c>
      <c r="B6232" s="10">
        <v>46.05</v>
      </c>
      <c r="C6232" s="9"/>
      <c r="D6232" s="9">
        <f t="shared" si="97"/>
        <v>46.05</v>
      </c>
      <c r="E6232" s="11"/>
      <c r="F6232" s="9"/>
    </row>
    <row r="6233" s="1" customFormat="1" customHeight="1" spans="1:6">
      <c r="A6233" s="9" t="str">
        <f>"10120520821"</f>
        <v>10120520821</v>
      </c>
      <c r="B6233" s="10">
        <v>41.08</v>
      </c>
      <c r="C6233" s="9"/>
      <c r="D6233" s="9">
        <f t="shared" si="97"/>
        <v>41.08</v>
      </c>
      <c r="E6233" s="11"/>
      <c r="F6233" s="9"/>
    </row>
    <row r="6234" s="1" customFormat="1" customHeight="1" spans="1:6">
      <c r="A6234" s="9" t="str">
        <f>"10440520822"</f>
        <v>10440520822</v>
      </c>
      <c r="B6234" s="10">
        <v>44.05</v>
      </c>
      <c r="C6234" s="9"/>
      <c r="D6234" s="9">
        <f t="shared" si="97"/>
        <v>44.05</v>
      </c>
      <c r="E6234" s="11"/>
      <c r="F6234" s="9"/>
    </row>
    <row r="6235" s="1" customFormat="1" customHeight="1" spans="1:6">
      <c r="A6235" s="9" t="str">
        <f>"10120520823"</f>
        <v>10120520823</v>
      </c>
      <c r="B6235" s="10">
        <v>0</v>
      </c>
      <c r="C6235" s="9"/>
      <c r="D6235" s="9">
        <f t="shared" si="97"/>
        <v>0</v>
      </c>
      <c r="E6235" s="11"/>
      <c r="F6235" s="9" t="s">
        <v>7</v>
      </c>
    </row>
    <row r="6236" s="1" customFormat="1" customHeight="1" spans="1:6">
      <c r="A6236" s="9" t="str">
        <f>"10330520824"</f>
        <v>10330520824</v>
      </c>
      <c r="B6236" s="10">
        <v>40.94</v>
      </c>
      <c r="C6236" s="9"/>
      <c r="D6236" s="9">
        <f t="shared" si="97"/>
        <v>40.94</v>
      </c>
      <c r="E6236" s="11"/>
      <c r="F6236" s="9"/>
    </row>
    <row r="6237" s="1" customFormat="1" customHeight="1" spans="1:6">
      <c r="A6237" s="9" t="str">
        <f>"10350520825"</f>
        <v>10350520825</v>
      </c>
      <c r="B6237" s="10">
        <v>39.9</v>
      </c>
      <c r="C6237" s="9"/>
      <c r="D6237" s="9">
        <f t="shared" si="97"/>
        <v>39.9</v>
      </c>
      <c r="E6237" s="11"/>
      <c r="F6237" s="9"/>
    </row>
    <row r="6238" s="1" customFormat="1" customHeight="1" spans="1:6">
      <c r="A6238" s="9" t="str">
        <f>"10420520826"</f>
        <v>10420520826</v>
      </c>
      <c r="B6238" s="10">
        <v>47.26</v>
      </c>
      <c r="C6238" s="9"/>
      <c r="D6238" s="9">
        <f t="shared" si="97"/>
        <v>47.26</v>
      </c>
      <c r="E6238" s="11"/>
      <c r="F6238" s="9"/>
    </row>
    <row r="6239" s="1" customFormat="1" customHeight="1" spans="1:6">
      <c r="A6239" s="9" t="str">
        <f>"10300520827"</f>
        <v>10300520827</v>
      </c>
      <c r="B6239" s="10">
        <v>34.81</v>
      </c>
      <c r="C6239" s="9"/>
      <c r="D6239" s="9">
        <f t="shared" si="97"/>
        <v>34.81</v>
      </c>
      <c r="E6239" s="11"/>
      <c r="F6239" s="9"/>
    </row>
    <row r="6240" s="1" customFormat="1" customHeight="1" spans="1:6">
      <c r="A6240" s="9" t="str">
        <f>"10360520828"</f>
        <v>10360520828</v>
      </c>
      <c r="B6240" s="10">
        <v>43.17</v>
      </c>
      <c r="C6240" s="9"/>
      <c r="D6240" s="9">
        <f t="shared" si="97"/>
        <v>43.17</v>
      </c>
      <c r="E6240" s="11"/>
      <c r="F6240" s="9"/>
    </row>
    <row r="6241" s="1" customFormat="1" customHeight="1" spans="1:6">
      <c r="A6241" s="9" t="str">
        <f>"10170520829"</f>
        <v>10170520829</v>
      </c>
      <c r="B6241" s="10">
        <v>0</v>
      </c>
      <c r="C6241" s="9"/>
      <c r="D6241" s="9">
        <f t="shared" si="97"/>
        <v>0</v>
      </c>
      <c r="E6241" s="11"/>
      <c r="F6241" s="9" t="s">
        <v>7</v>
      </c>
    </row>
    <row r="6242" s="1" customFormat="1" customHeight="1" spans="1:6">
      <c r="A6242" s="9" t="str">
        <f>"10330520830"</f>
        <v>10330520830</v>
      </c>
      <c r="B6242" s="10">
        <v>0</v>
      </c>
      <c r="C6242" s="9"/>
      <c r="D6242" s="9">
        <f t="shared" si="97"/>
        <v>0</v>
      </c>
      <c r="E6242" s="11"/>
      <c r="F6242" s="9" t="s">
        <v>7</v>
      </c>
    </row>
    <row r="6243" s="1" customFormat="1" customHeight="1" spans="1:6">
      <c r="A6243" s="9" t="str">
        <f>"10530520901"</f>
        <v>10530520901</v>
      </c>
      <c r="B6243" s="10">
        <v>0</v>
      </c>
      <c r="C6243" s="9"/>
      <c r="D6243" s="9">
        <f t="shared" si="97"/>
        <v>0</v>
      </c>
      <c r="E6243" s="11"/>
      <c r="F6243" s="9" t="s">
        <v>7</v>
      </c>
    </row>
    <row r="6244" s="1" customFormat="1" customHeight="1" spans="1:6">
      <c r="A6244" s="9" t="str">
        <f>"10060520902"</f>
        <v>10060520902</v>
      </c>
      <c r="B6244" s="10">
        <v>73.63</v>
      </c>
      <c r="C6244" s="9"/>
      <c r="D6244" s="9">
        <f t="shared" si="97"/>
        <v>73.63</v>
      </c>
      <c r="E6244" s="11"/>
      <c r="F6244" s="9"/>
    </row>
    <row r="6245" s="1" customFormat="1" customHeight="1" spans="1:6">
      <c r="A6245" s="9" t="str">
        <f>"10440520903"</f>
        <v>10440520903</v>
      </c>
      <c r="B6245" s="10">
        <v>47.29</v>
      </c>
      <c r="C6245" s="9"/>
      <c r="D6245" s="9">
        <f t="shared" si="97"/>
        <v>47.29</v>
      </c>
      <c r="E6245" s="11"/>
      <c r="F6245" s="9"/>
    </row>
    <row r="6246" s="1" customFormat="1" customHeight="1" spans="1:6">
      <c r="A6246" s="9" t="str">
        <f>"10190520904"</f>
        <v>10190520904</v>
      </c>
      <c r="B6246" s="10">
        <v>38.63</v>
      </c>
      <c r="C6246" s="9"/>
      <c r="D6246" s="9">
        <f t="shared" si="97"/>
        <v>38.63</v>
      </c>
      <c r="E6246" s="11"/>
      <c r="F6246" s="9"/>
    </row>
    <row r="6247" s="1" customFormat="1" customHeight="1" spans="1:6">
      <c r="A6247" s="9" t="str">
        <f>"10290520905"</f>
        <v>10290520905</v>
      </c>
      <c r="B6247" s="10">
        <v>0</v>
      </c>
      <c r="C6247" s="9"/>
      <c r="D6247" s="9">
        <f t="shared" si="97"/>
        <v>0</v>
      </c>
      <c r="E6247" s="11"/>
      <c r="F6247" s="9" t="s">
        <v>7</v>
      </c>
    </row>
    <row r="6248" s="1" customFormat="1" customHeight="1" spans="1:6">
      <c r="A6248" s="9" t="str">
        <f>"10110520906"</f>
        <v>10110520906</v>
      </c>
      <c r="B6248" s="10">
        <v>39.64</v>
      </c>
      <c r="C6248" s="9"/>
      <c r="D6248" s="9">
        <f t="shared" si="97"/>
        <v>39.64</v>
      </c>
      <c r="E6248" s="11"/>
      <c r="F6248" s="9"/>
    </row>
    <row r="6249" s="1" customFormat="1" customHeight="1" spans="1:6">
      <c r="A6249" s="9" t="str">
        <f>"10360520907"</f>
        <v>10360520907</v>
      </c>
      <c r="B6249" s="10">
        <v>36.75</v>
      </c>
      <c r="C6249" s="9"/>
      <c r="D6249" s="9">
        <f t="shared" si="97"/>
        <v>36.75</v>
      </c>
      <c r="E6249" s="11"/>
      <c r="F6249" s="9"/>
    </row>
    <row r="6250" s="1" customFormat="1" customHeight="1" spans="1:6">
      <c r="A6250" s="9" t="str">
        <f>"10120520908"</f>
        <v>10120520908</v>
      </c>
      <c r="B6250" s="10">
        <v>45.59</v>
      </c>
      <c r="C6250" s="9"/>
      <c r="D6250" s="9">
        <f t="shared" si="97"/>
        <v>45.59</v>
      </c>
      <c r="E6250" s="11"/>
      <c r="F6250" s="9"/>
    </row>
    <row r="6251" s="1" customFormat="1" customHeight="1" spans="1:6">
      <c r="A6251" s="9" t="str">
        <f>"10360520909"</f>
        <v>10360520909</v>
      </c>
      <c r="B6251" s="10">
        <v>0</v>
      </c>
      <c r="C6251" s="9"/>
      <c r="D6251" s="9">
        <f t="shared" si="97"/>
        <v>0</v>
      </c>
      <c r="E6251" s="11"/>
      <c r="F6251" s="9" t="s">
        <v>7</v>
      </c>
    </row>
    <row r="6252" s="1" customFormat="1" customHeight="1" spans="1:6">
      <c r="A6252" s="9" t="str">
        <f>"10100520910"</f>
        <v>10100520910</v>
      </c>
      <c r="B6252" s="10">
        <v>0</v>
      </c>
      <c r="C6252" s="9"/>
      <c r="D6252" s="9">
        <f t="shared" si="97"/>
        <v>0</v>
      </c>
      <c r="E6252" s="11"/>
      <c r="F6252" s="9" t="s">
        <v>7</v>
      </c>
    </row>
    <row r="6253" s="1" customFormat="1" customHeight="1" spans="1:6">
      <c r="A6253" s="9" t="str">
        <f>"10360520911"</f>
        <v>10360520911</v>
      </c>
      <c r="B6253" s="10">
        <v>31.57</v>
      </c>
      <c r="C6253" s="9"/>
      <c r="D6253" s="9">
        <f t="shared" si="97"/>
        <v>31.57</v>
      </c>
      <c r="E6253" s="11"/>
      <c r="F6253" s="9"/>
    </row>
    <row r="6254" s="1" customFormat="1" customHeight="1" spans="1:6">
      <c r="A6254" s="9" t="str">
        <f>"10090520912"</f>
        <v>10090520912</v>
      </c>
      <c r="B6254" s="10">
        <v>54.34</v>
      </c>
      <c r="C6254" s="9"/>
      <c r="D6254" s="9">
        <f t="shared" si="97"/>
        <v>54.34</v>
      </c>
      <c r="E6254" s="11"/>
      <c r="F6254" s="9"/>
    </row>
    <row r="6255" s="1" customFormat="1" customHeight="1" spans="1:6">
      <c r="A6255" s="9" t="str">
        <f>"10360520913"</f>
        <v>10360520913</v>
      </c>
      <c r="B6255" s="10">
        <v>0</v>
      </c>
      <c r="C6255" s="9"/>
      <c r="D6255" s="9">
        <f t="shared" si="97"/>
        <v>0</v>
      </c>
      <c r="E6255" s="11"/>
      <c r="F6255" s="9" t="s">
        <v>7</v>
      </c>
    </row>
    <row r="6256" s="1" customFormat="1" customHeight="1" spans="1:6">
      <c r="A6256" s="9" t="str">
        <f>"10210520914"</f>
        <v>10210520914</v>
      </c>
      <c r="B6256" s="10">
        <v>40.6</v>
      </c>
      <c r="C6256" s="9"/>
      <c r="D6256" s="9">
        <f t="shared" si="97"/>
        <v>40.6</v>
      </c>
      <c r="E6256" s="11"/>
      <c r="F6256" s="9"/>
    </row>
    <row r="6257" s="1" customFormat="1" customHeight="1" spans="1:6">
      <c r="A6257" s="9" t="str">
        <f>"10170520915"</f>
        <v>10170520915</v>
      </c>
      <c r="B6257" s="10">
        <v>41.88</v>
      </c>
      <c r="C6257" s="9"/>
      <c r="D6257" s="9">
        <f t="shared" si="97"/>
        <v>41.88</v>
      </c>
      <c r="E6257" s="11"/>
      <c r="F6257" s="9"/>
    </row>
    <row r="6258" s="1" customFormat="1" customHeight="1" spans="1:6">
      <c r="A6258" s="9" t="str">
        <f>"10360520916"</f>
        <v>10360520916</v>
      </c>
      <c r="B6258" s="10">
        <v>38.13</v>
      </c>
      <c r="C6258" s="9"/>
      <c r="D6258" s="9">
        <f t="shared" si="97"/>
        <v>38.13</v>
      </c>
      <c r="E6258" s="11"/>
      <c r="F6258" s="9"/>
    </row>
    <row r="6259" s="1" customFormat="1" customHeight="1" spans="1:6">
      <c r="A6259" s="9" t="str">
        <f>"10230520917"</f>
        <v>10230520917</v>
      </c>
      <c r="B6259" s="10">
        <v>38.87</v>
      </c>
      <c r="C6259" s="9"/>
      <c r="D6259" s="9">
        <f t="shared" si="97"/>
        <v>38.87</v>
      </c>
      <c r="E6259" s="11"/>
      <c r="F6259" s="9"/>
    </row>
    <row r="6260" s="1" customFormat="1" customHeight="1" spans="1:6">
      <c r="A6260" s="9" t="str">
        <f>"10360520918"</f>
        <v>10360520918</v>
      </c>
      <c r="B6260" s="10">
        <v>36.96</v>
      </c>
      <c r="C6260" s="9"/>
      <c r="D6260" s="9">
        <f t="shared" si="97"/>
        <v>36.96</v>
      </c>
      <c r="E6260" s="11"/>
      <c r="F6260" s="9"/>
    </row>
    <row r="6261" s="1" customFormat="1" customHeight="1" spans="1:6">
      <c r="A6261" s="9" t="str">
        <f>"10130520919"</f>
        <v>10130520919</v>
      </c>
      <c r="B6261" s="10">
        <v>35.33</v>
      </c>
      <c r="C6261" s="9"/>
      <c r="D6261" s="9">
        <f t="shared" si="97"/>
        <v>35.33</v>
      </c>
      <c r="E6261" s="11"/>
      <c r="F6261" s="9"/>
    </row>
    <row r="6262" s="1" customFormat="1" customHeight="1" spans="1:6">
      <c r="A6262" s="9" t="str">
        <f>"10360520920"</f>
        <v>10360520920</v>
      </c>
      <c r="B6262" s="10">
        <v>0</v>
      </c>
      <c r="C6262" s="9"/>
      <c r="D6262" s="9">
        <f t="shared" si="97"/>
        <v>0</v>
      </c>
      <c r="E6262" s="11"/>
      <c r="F6262" s="9" t="s">
        <v>7</v>
      </c>
    </row>
    <row r="6263" s="1" customFormat="1" customHeight="1" spans="1:6">
      <c r="A6263" s="9" t="str">
        <f>"10530520921"</f>
        <v>10530520921</v>
      </c>
      <c r="B6263" s="10">
        <v>29.39</v>
      </c>
      <c r="C6263" s="9"/>
      <c r="D6263" s="9">
        <f t="shared" si="97"/>
        <v>29.39</v>
      </c>
      <c r="E6263" s="11"/>
      <c r="F6263" s="9"/>
    </row>
    <row r="6264" s="1" customFormat="1" customHeight="1" spans="1:6">
      <c r="A6264" s="9" t="str">
        <f>"10360520922"</f>
        <v>10360520922</v>
      </c>
      <c r="B6264" s="10">
        <v>48.31</v>
      </c>
      <c r="C6264" s="9"/>
      <c r="D6264" s="9">
        <f t="shared" si="97"/>
        <v>48.31</v>
      </c>
      <c r="E6264" s="11"/>
      <c r="F6264" s="9"/>
    </row>
    <row r="6265" s="1" customFormat="1" customHeight="1" spans="1:6">
      <c r="A6265" s="9" t="str">
        <f>"10430520923"</f>
        <v>10430520923</v>
      </c>
      <c r="B6265" s="10">
        <v>40.28</v>
      </c>
      <c r="C6265" s="9"/>
      <c r="D6265" s="9">
        <f t="shared" si="97"/>
        <v>40.28</v>
      </c>
      <c r="E6265" s="11"/>
      <c r="F6265" s="9"/>
    </row>
    <row r="6266" s="1" customFormat="1" customHeight="1" spans="1:6">
      <c r="A6266" s="9" t="str">
        <f>"10010520924"</f>
        <v>10010520924</v>
      </c>
      <c r="B6266" s="10">
        <v>33.68</v>
      </c>
      <c r="C6266" s="9"/>
      <c r="D6266" s="9">
        <f t="shared" si="97"/>
        <v>33.68</v>
      </c>
      <c r="E6266" s="11"/>
      <c r="F6266" s="9"/>
    </row>
    <row r="6267" s="1" customFormat="1" customHeight="1" spans="1:6">
      <c r="A6267" s="9" t="str">
        <f>"10080520925"</f>
        <v>10080520925</v>
      </c>
      <c r="B6267" s="10">
        <v>43.7</v>
      </c>
      <c r="C6267" s="9"/>
      <c r="D6267" s="9">
        <f t="shared" si="97"/>
        <v>43.7</v>
      </c>
      <c r="E6267" s="11"/>
      <c r="F6267" s="9"/>
    </row>
    <row r="6268" s="1" customFormat="1" customHeight="1" spans="1:6">
      <c r="A6268" s="9" t="str">
        <f>"10070520926"</f>
        <v>10070520926</v>
      </c>
      <c r="B6268" s="10">
        <v>54.42</v>
      </c>
      <c r="C6268" s="9"/>
      <c r="D6268" s="9">
        <f t="shared" si="97"/>
        <v>54.42</v>
      </c>
      <c r="E6268" s="11"/>
      <c r="F6268" s="9"/>
    </row>
    <row r="6269" s="1" customFormat="1" customHeight="1" spans="1:6">
      <c r="A6269" s="9" t="str">
        <f>"10110520927"</f>
        <v>10110520927</v>
      </c>
      <c r="B6269" s="10">
        <v>31.33</v>
      </c>
      <c r="C6269" s="9"/>
      <c r="D6269" s="9">
        <f t="shared" si="97"/>
        <v>31.33</v>
      </c>
      <c r="E6269" s="11"/>
      <c r="F6269" s="9"/>
    </row>
    <row r="6270" s="1" customFormat="1" customHeight="1" spans="1:6">
      <c r="A6270" s="9" t="str">
        <f>"10350520928"</f>
        <v>10350520928</v>
      </c>
      <c r="B6270" s="10">
        <v>34.02</v>
      </c>
      <c r="C6270" s="9"/>
      <c r="D6270" s="9">
        <f t="shared" si="97"/>
        <v>34.02</v>
      </c>
      <c r="E6270" s="11"/>
      <c r="F6270" s="9"/>
    </row>
    <row r="6271" s="1" customFormat="1" customHeight="1" spans="1:6">
      <c r="A6271" s="9" t="str">
        <f>"10360520929"</f>
        <v>10360520929</v>
      </c>
      <c r="B6271" s="10">
        <v>0</v>
      </c>
      <c r="C6271" s="9"/>
      <c r="D6271" s="9">
        <f t="shared" si="97"/>
        <v>0</v>
      </c>
      <c r="E6271" s="11"/>
      <c r="F6271" s="9" t="s">
        <v>7</v>
      </c>
    </row>
    <row r="6272" s="1" customFormat="1" customHeight="1" spans="1:6">
      <c r="A6272" s="9" t="str">
        <f>"10520520930"</f>
        <v>10520520930</v>
      </c>
      <c r="B6272" s="10">
        <v>0</v>
      </c>
      <c r="C6272" s="9"/>
      <c r="D6272" s="9">
        <f t="shared" si="97"/>
        <v>0</v>
      </c>
      <c r="E6272" s="11"/>
      <c r="F6272" s="9" t="s">
        <v>7</v>
      </c>
    </row>
    <row r="6273" s="1" customFormat="1" customHeight="1" spans="1:6">
      <c r="A6273" s="9" t="str">
        <f>"10520521001"</f>
        <v>10520521001</v>
      </c>
      <c r="B6273" s="10">
        <v>0</v>
      </c>
      <c r="C6273" s="9"/>
      <c r="D6273" s="9">
        <f t="shared" si="97"/>
        <v>0</v>
      </c>
      <c r="E6273" s="11"/>
      <c r="F6273" s="9" t="s">
        <v>7</v>
      </c>
    </row>
    <row r="6274" s="1" customFormat="1" customHeight="1" spans="1:6">
      <c r="A6274" s="9" t="str">
        <f>"10360521002"</f>
        <v>10360521002</v>
      </c>
      <c r="B6274" s="10">
        <v>44.22</v>
      </c>
      <c r="C6274" s="9"/>
      <c r="D6274" s="9">
        <f t="shared" si="97"/>
        <v>44.22</v>
      </c>
      <c r="E6274" s="11"/>
      <c r="F6274" s="9"/>
    </row>
    <row r="6275" s="1" customFormat="1" customHeight="1" spans="1:6">
      <c r="A6275" s="9" t="str">
        <f>"10360521003"</f>
        <v>10360521003</v>
      </c>
      <c r="B6275" s="10">
        <v>39.03</v>
      </c>
      <c r="C6275" s="9"/>
      <c r="D6275" s="9">
        <f t="shared" ref="D6275:D6338" si="98">SUM(B6275:C6275)</f>
        <v>39.03</v>
      </c>
      <c r="E6275" s="11"/>
      <c r="F6275" s="9"/>
    </row>
    <row r="6276" s="1" customFormat="1" customHeight="1" spans="1:6">
      <c r="A6276" s="9" t="str">
        <f>"10100521004"</f>
        <v>10100521004</v>
      </c>
      <c r="B6276" s="10">
        <v>37.6</v>
      </c>
      <c r="C6276" s="9"/>
      <c r="D6276" s="9">
        <f t="shared" si="98"/>
        <v>37.6</v>
      </c>
      <c r="E6276" s="11"/>
      <c r="F6276" s="9"/>
    </row>
    <row r="6277" s="1" customFormat="1" customHeight="1" spans="1:6">
      <c r="A6277" s="9" t="str">
        <f>"10300521005"</f>
        <v>10300521005</v>
      </c>
      <c r="B6277" s="10">
        <v>0</v>
      </c>
      <c r="C6277" s="9"/>
      <c r="D6277" s="9">
        <f t="shared" si="98"/>
        <v>0</v>
      </c>
      <c r="E6277" s="11"/>
      <c r="F6277" s="9" t="s">
        <v>7</v>
      </c>
    </row>
    <row r="6278" s="1" customFormat="1" customHeight="1" spans="1:6">
      <c r="A6278" s="9" t="str">
        <f>"10330521006"</f>
        <v>10330521006</v>
      </c>
      <c r="B6278" s="10">
        <v>36.19</v>
      </c>
      <c r="C6278" s="9"/>
      <c r="D6278" s="9">
        <f t="shared" si="98"/>
        <v>36.19</v>
      </c>
      <c r="E6278" s="11"/>
      <c r="F6278" s="9"/>
    </row>
    <row r="6279" s="1" customFormat="1" customHeight="1" spans="1:6">
      <c r="A6279" s="9" t="str">
        <f>"10300521007"</f>
        <v>10300521007</v>
      </c>
      <c r="B6279" s="10">
        <v>43.75</v>
      </c>
      <c r="C6279" s="9"/>
      <c r="D6279" s="9">
        <f t="shared" si="98"/>
        <v>43.75</v>
      </c>
      <c r="E6279" s="11"/>
      <c r="F6279" s="9"/>
    </row>
    <row r="6280" s="1" customFormat="1" customHeight="1" spans="1:6">
      <c r="A6280" s="9" t="str">
        <f>"10190521008"</f>
        <v>10190521008</v>
      </c>
      <c r="B6280" s="10">
        <v>0</v>
      </c>
      <c r="C6280" s="9"/>
      <c r="D6280" s="9">
        <f t="shared" si="98"/>
        <v>0</v>
      </c>
      <c r="E6280" s="11"/>
      <c r="F6280" s="9" t="s">
        <v>7</v>
      </c>
    </row>
    <row r="6281" s="1" customFormat="1" customHeight="1" spans="1:6">
      <c r="A6281" s="9" t="str">
        <f>"10360521009"</f>
        <v>10360521009</v>
      </c>
      <c r="B6281" s="10">
        <v>39.85</v>
      </c>
      <c r="C6281" s="9"/>
      <c r="D6281" s="9">
        <f t="shared" si="98"/>
        <v>39.85</v>
      </c>
      <c r="E6281" s="11"/>
      <c r="F6281" s="9"/>
    </row>
    <row r="6282" s="1" customFormat="1" customHeight="1" spans="1:6">
      <c r="A6282" s="9" t="str">
        <f>"10530521010"</f>
        <v>10530521010</v>
      </c>
      <c r="B6282" s="10">
        <v>44.97</v>
      </c>
      <c r="C6282" s="9"/>
      <c r="D6282" s="9">
        <f t="shared" si="98"/>
        <v>44.97</v>
      </c>
      <c r="E6282" s="11"/>
      <c r="F6282" s="9"/>
    </row>
    <row r="6283" s="1" customFormat="1" customHeight="1" spans="1:6">
      <c r="A6283" s="9" t="str">
        <f>"10280521011"</f>
        <v>10280521011</v>
      </c>
      <c r="B6283" s="10">
        <v>47.28</v>
      </c>
      <c r="C6283" s="9"/>
      <c r="D6283" s="9">
        <f t="shared" si="98"/>
        <v>47.28</v>
      </c>
      <c r="E6283" s="11"/>
      <c r="F6283" s="9"/>
    </row>
    <row r="6284" s="1" customFormat="1" customHeight="1" spans="1:6">
      <c r="A6284" s="9" t="str">
        <f>"10370521012"</f>
        <v>10370521012</v>
      </c>
      <c r="B6284" s="10">
        <v>43.33</v>
      </c>
      <c r="C6284" s="9"/>
      <c r="D6284" s="9">
        <f t="shared" si="98"/>
        <v>43.33</v>
      </c>
      <c r="E6284" s="11"/>
      <c r="F6284" s="9"/>
    </row>
    <row r="6285" s="1" customFormat="1" customHeight="1" spans="1:6">
      <c r="A6285" s="9" t="str">
        <f>"10190521013"</f>
        <v>10190521013</v>
      </c>
      <c r="B6285" s="10">
        <v>48.97</v>
      </c>
      <c r="C6285" s="9"/>
      <c r="D6285" s="9">
        <f t="shared" si="98"/>
        <v>48.97</v>
      </c>
      <c r="E6285" s="11"/>
      <c r="F6285" s="9"/>
    </row>
    <row r="6286" s="1" customFormat="1" customHeight="1" spans="1:6">
      <c r="A6286" s="9" t="str">
        <f>"10380521014"</f>
        <v>10380521014</v>
      </c>
      <c r="B6286" s="10">
        <v>40.91</v>
      </c>
      <c r="C6286" s="9"/>
      <c r="D6286" s="9">
        <f t="shared" si="98"/>
        <v>40.91</v>
      </c>
      <c r="E6286" s="11"/>
      <c r="F6286" s="9"/>
    </row>
    <row r="6287" s="1" customFormat="1" customHeight="1" spans="1:6">
      <c r="A6287" s="9" t="str">
        <f>"10070521015"</f>
        <v>10070521015</v>
      </c>
      <c r="B6287" s="10">
        <v>47.19</v>
      </c>
      <c r="C6287" s="9"/>
      <c r="D6287" s="9">
        <f t="shared" si="98"/>
        <v>47.19</v>
      </c>
      <c r="E6287" s="11"/>
      <c r="F6287" s="9"/>
    </row>
    <row r="6288" s="1" customFormat="1" customHeight="1" spans="1:6">
      <c r="A6288" s="9" t="str">
        <f>"10410521016"</f>
        <v>10410521016</v>
      </c>
      <c r="B6288" s="10">
        <v>42.98</v>
      </c>
      <c r="C6288" s="9"/>
      <c r="D6288" s="9">
        <f t="shared" si="98"/>
        <v>42.98</v>
      </c>
      <c r="E6288" s="11"/>
      <c r="F6288" s="9"/>
    </row>
    <row r="6289" s="1" customFormat="1" customHeight="1" spans="1:6">
      <c r="A6289" s="9" t="str">
        <f>"10360521017"</f>
        <v>10360521017</v>
      </c>
      <c r="B6289" s="10">
        <v>0</v>
      </c>
      <c r="C6289" s="9"/>
      <c r="D6289" s="9">
        <f t="shared" si="98"/>
        <v>0</v>
      </c>
      <c r="E6289" s="11"/>
      <c r="F6289" s="9" t="s">
        <v>7</v>
      </c>
    </row>
    <row r="6290" s="1" customFormat="1" customHeight="1" spans="1:6">
      <c r="A6290" s="9" t="str">
        <f>"10360521018"</f>
        <v>10360521018</v>
      </c>
      <c r="B6290" s="10">
        <v>34.71</v>
      </c>
      <c r="C6290" s="9">
        <v>10</v>
      </c>
      <c r="D6290" s="9">
        <f t="shared" si="98"/>
        <v>44.71</v>
      </c>
      <c r="E6290" s="12" t="s">
        <v>8</v>
      </c>
      <c r="F6290" s="9"/>
    </row>
    <row r="6291" s="1" customFormat="1" customHeight="1" spans="1:6">
      <c r="A6291" s="9" t="str">
        <f>"10400521019"</f>
        <v>10400521019</v>
      </c>
      <c r="B6291" s="10">
        <v>0</v>
      </c>
      <c r="C6291" s="9"/>
      <c r="D6291" s="9">
        <f t="shared" si="98"/>
        <v>0</v>
      </c>
      <c r="E6291" s="11"/>
      <c r="F6291" s="9" t="s">
        <v>7</v>
      </c>
    </row>
    <row r="6292" s="1" customFormat="1" customHeight="1" spans="1:6">
      <c r="A6292" s="9" t="str">
        <f>"10340521020"</f>
        <v>10340521020</v>
      </c>
      <c r="B6292" s="10">
        <v>37.43</v>
      </c>
      <c r="C6292" s="9"/>
      <c r="D6292" s="9">
        <f t="shared" si="98"/>
        <v>37.43</v>
      </c>
      <c r="E6292" s="11"/>
      <c r="F6292" s="9"/>
    </row>
    <row r="6293" s="1" customFormat="1" customHeight="1" spans="1:6">
      <c r="A6293" s="9" t="str">
        <f>"10530521021"</f>
        <v>10530521021</v>
      </c>
      <c r="B6293" s="10">
        <v>41.76</v>
      </c>
      <c r="C6293" s="9"/>
      <c r="D6293" s="9">
        <f t="shared" si="98"/>
        <v>41.76</v>
      </c>
      <c r="E6293" s="11"/>
      <c r="F6293" s="9"/>
    </row>
    <row r="6294" s="1" customFormat="1" customHeight="1" spans="1:6">
      <c r="A6294" s="9" t="str">
        <f>"10300521022"</f>
        <v>10300521022</v>
      </c>
      <c r="B6294" s="10">
        <v>46.43</v>
      </c>
      <c r="C6294" s="9"/>
      <c r="D6294" s="9">
        <f t="shared" si="98"/>
        <v>46.43</v>
      </c>
      <c r="E6294" s="11"/>
      <c r="F6294" s="9"/>
    </row>
    <row r="6295" s="1" customFormat="1" customHeight="1" spans="1:6">
      <c r="A6295" s="9" t="str">
        <f>"10210521023"</f>
        <v>10210521023</v>
      </c>
      <c r="B6295" s="10">
        <v>0</v>
      </c>
      <c r="C6295" s="9"/>
      <c r="D6295" s="9">
        <f t="shared" si="98"/>
        <v>0</v>
      </c>
      <c r="E6295" s="11"/>
      <c r="F6295" s="9" t="s">
        <v>7</v>
      </c>
    </row>
    <row r="6296" s="1" customFormat="1" customHeight="1" spans="1:6">
      <c r="A6296" s="9" t="str">
        <f>"10350521024"</f>
        <v>10350521024</v>
      </c>
      <c r="B6296" s="10">
        <v>0</v>
      </c>
      <c r="C6296" s="9"/>
      <c r="D6296" s="9">
        <f t="shared" si="98"/>
        <v>0</v>
      </c>
      <c r="E6296" s="11"/>
      <c r="F6296" s="9" t="s">
        <v>7</v>
      </c>
    </row>
    <row r="6297" s="1" customFormat="1" customHeight="1" spans="1:6">
      <c r="A6297" s="9" t="str">
        <f>"10530521025"</f>
        <v>10530521025</v>
      </c>
      <c r="B6297" s="10">
        <v>31.82</v>
      </c>
      <c r="C6297" s="9"/>
      <c r="D6297" s="9">
        <f t="shared" si="98"/>
        <v>31.82</v>
      </c>
      <c r="E6297" s="11"/>
      <c r="F6297" s="9"/>
    </row>
    <row r="6298" s="1" customFormat="1" customHeight="1" spans="1:6">
      <c r="A6298" s="9" t="str">
        <f>"10510521026"</f>
        <v>10510521026</v>
      </c>
      <c r="B6298" s="10">
        <v>45.63</v>
      </c>
      <c r="C6298" s="9"/>
      <c r="D6298" s="9">
        <f t="shared" si="98"/>
        <v>45.63</v>
      </c>
      <c r="E6298" s="11"/>
      <c r="F6298" s="9"/>
    </row>
    <row r="6299" s="1" customFormat="1" customHeight="1" spans="1:6">
      <c r="A6299" s="9" t="str">
        <f>"10530521027"</f>
        <v>10530521027</v>
      </c>
      <c r="B6299" s="10">
        <v>44.86</v>
      </c>
      <c r="C6299" s="9"/>
      <c r="D6299" s="9">
        <f t="shared" si="98"/>
        <v>44.86</v>
      </c>
      <c r="E6299" s="11"/>
      <c r="F6299" s="9"/>
    </row>
    <row r="6300" s="1" customFormat="1" customHeight="1" spans="1:6">
      <c r="A6300" s="9" t="str">
        <f>"10360521028"</f>
        <v>10360521028</v>
      </c>
      <c r="B6300" s="10">
        <v>32.55</v>
      </c>
      <c r="C6300" s="9"/>
      <c r="D6300" s="9">
        <f t="shared" si="98"/>
        <v>32.55</v>
      </c>
      <c r="E6300" s="11"/>
      <c r="F6300" s="9"/>
    </row>
    <row r="6301" s="1" customFormat="1" customHeight="1" spans="1:6">
      <c r="A6301" s="9" t="str">
        <f>"10520521029"</f>
        <v>10520521029</v>
      </c>
      <c r="B6301" s="10">
        <v>43.37</v>
      </c>
      <c r="C6301" s="9"/>
      <c r="D6301" s="9">
        <f t="shared" si="98"/>
        <v>43.37</v>
      </c>
      <c r="E6301" s="11"/>
      <c r="F6301" s="9"/>
    </row>
    <row r="6302" s="1" customFormat="1" customHeight="1" spans="1:6">
      <c r="A6302" s="9" t="str">
        <f>"10360521030"</f>
        <v>10360521030</v>
      </c>
      <c r="B6302" s="10">
        <v>0</v>
      </c>
      <c r="C6302" s="9"/>
      <c r="D6302" s="9">
        <f t="shared" si="98"/>
        <v>0</v>
      </c>
      <c r="E6302" s="11"/>
      <c r="F6302" s="9" t="s">
        <v>7</v>
      </c>
    </row>
    <row r="6303" s="1" customFormat="1" customHeight="1" spans="1:6">
      <c r="A6303" s="9" t="str">
        <f>"10360521101"</f>
        <v>10360521101</v>
      </c>
      <c r="B6303" s="10">
        <v>33.38</v>
      </c>
      <c r="C6303" s="9"/>
      <c r="D6303" s="9">
        <f t="shared" si="98"/>
        <v>33.38</v>
      </c>
      <c r="E6303" s="11"/>
      <c r="F6303" s="9"/>
    </row>
    <row r="6304" s="1" customFormat="1" customHeight="1" spans="1:6">
      <c r="A6304" s="9" t="str">
        <f>"10360521102"</f>
        <v>10360521102</v>
      </c>
      <c r="B6304" s="10">
        <v>34.31</v>
      </c>
      <c r="C6304" s="9"/>
      <c r="D6304" s="9">
        <f t="shared" si="98"/>
        <v>34.31</v>
      </c>
      <c r="E6304" s="11"/>
      <c r="F6304" s="9"/>
    </row>
    <row r="6305" s="1" customFormat="1" customHeight="1" spans="1:6">
      <c r="A6305" s="9" t="str">
        <f>"10180521103"</f>
        <v>10180521103</v>
      </c>
      <c r="B6305" s="10">
        <v>39.41</v>
      </c>
      <c r="C6305" s="9"/>
      <c r="D6305" s="9">
        <f t="shared" si="98"/>
        <v>39.41</v>
      </c>
      <c r="E6305" s="11"/>
      <c r="F6305" s="9"/>
    </row>
    <row r="6306" s="1" customFormat="1" customHeight="1" spans="1:6">
      <c r="A6306" s="9" t="str">
        <f>"10200521104"</f>
        <v>10200521104</v>
      </c>
      <c r="B6306" s="10">
        <v>0</v>
      </c>
      <c r="C6306" s="9"/>
      <c r="D6306" s="9">
        <f t="shared" si="98"/>
        <v>0</v>
      </c>
      <c r="E6306" s="11"/>
      <c r="F6306" s="9" t="s">
        <v>7</v>
      </c>
    </row>
    <row r="6307" s="1" customFormat="1" customHeight="1" spans="1:6">
      <c r="A6307" s="9" t="str">
        <f>"10180521105"</f>
        <v>10180521105</v>
      </c>
      <c r="B6307" s="10">
        <v>34.78</v>
      </c>
      <c r="C6307" s="9">
        <v>10</v>
      </c>
      <c r="D6307" s="9">
        <f t="shared" si="98"/>
        <v>44.78</v>
      </c>
      <c r="E6307" s="12" t="s">
        <v>8</v>
      </c>
      <c r="F6307" s="9"/>
    </row>
    <row r="6308" s="1" customFormat="1" customHeight="1" spans="1:6">
      <c r="A6308" s="9" t="str">
        <f>"10330521106"</f>
        <v>10330521106</v>
      </c>
      <c r="B6308" s="10">
        <v>45.38</v>
      </c>
      <c r="C6308" s="9"/>
      <c r="D6308" s="9">
        <f t="shared" si="98"/>
        <v>45.38</v>
      </c>
      <c r="E6308" s="11"/>
      <c r="F6308" s="9"/>
    </row>
    <row r="6309" s="1" customFormat="1" customHeight="1" spans="1:6">
      <c r="A6309" s="9" t="str">
        <f>"10270521107"</f>
        <v>10270521107</v>
      </c>
      <c r="B6309" s="10">
        <v>28.23</v>
      </c>
      <c r="C6309" s="9"/>
      <c r="D6309" s="9">
        <f t="shared" si="98"/>
        <v>28.23</v>
      </c>
      <c r="E6309" s="11"/>
      <c r="F6309" s="9"/>
    </row>
    <row r="6310" s="1" customFormat="1" customHeight="1" spans="1:6">
      <c r="A6310" s="9" t="str">
        <f>"10010521108"</f>
        <v>10010521108</v>
      </c>
      <c r="B6310" s="10">
        <v>39.09</v>
      </c>
      <c r="C6310" s="9"/>
      <c r="D6310" s="9">
        <f t="shared" si="98"/>
        <v>39.09</v>
      </c>
      <c r="E6310" s="11"/>
      <c r="F6310" s="9"/>
    </row>
    <row r="6311" s="1" customFormat="1" customHeight="1" spans="1:6">
      <c r="A6311" s="9" t="str">
        <f>"10010521109"</f>
        <v>10010521109</v>
      </c>
      <c r="B6311" s="10">
        <v>38.95</v>
      </c>
      <c r="C6311" s="9"/>
      <c r="D6311" s="9">
        <f t="shared" si="98"/>
        <v>38.95</v>
      </c>
      <c r="E6311" s="11"/>
      <c r="F6311" s="9"/>
    </row>
    <row r="6312" s="1" customFormat="1" customHeight="1" spans="1:6">
      <c r="A6312" s="9" t="str">
        <f>"10060521110"</f>
        <v>10060521110</v>
      </c>
      <c r="B6312" s="10">
        <v>33.47</v>
      </c>
      <c r="C6312" s="9"/>
      <c r="D6312" s="9">
        <f t="shared" si="98"/>
        <v>33.47</v>
      </c>
      <c r="E6312" s="11"/>
      <c r="F6312" s="9"/>
    </row>
    <row r="6313" s="1" customFormat="1" customHeight="1" spans="1:6">
      <c r="A6313" s="9" t="str">
        <f>"10440521111"</f>
        <v>10440521111</v>
      </c>
      <c r="B6313" s="10">
        <v>0</v>
      </c>
      <c r="C6313" s="9"/>
      <c r="D6313" s="9">
        <f t="shared" si="98"/>
        <v>0</v>
      </c>
      <c r="E6313" s="11"/>
      <c r="F6313" s="9" t="s">
        <v>7</v>
      </c>
    </row>
    <row r="6314" s="1" customFormat="1" customHeight="1" spans="1:6">
      <c r="A6314" s="9" t="str">
        <f>"10510521112"</f>
        <v>10510521112</v>
      </c>
      <c r="B6314" s="10">
        <v>49.93</v>
      </c>
      <c r="C6314" s="9"/>
      <c r="D6314" s="9">
        <f t="shared" si="98"/>
        <v>49.93</v>
      </c>
      <c r="E6314" s="11"/>
      <c r="F6314" s="9"/>
    </row>
    <row r="6315" s="1" customFormat="1" customHeight="1" spans="1:6">
      <c r="A6315" s="9" t="str">
        <f>"10360521113"</f>
        <v>10360521113</v>
      </c>
      <c r="B6315" s="10">
        <v>44.04</v>
      </c>
      <c r="C6315" s="9"/>
      <c r="D6315" s="9">
        <f t="shared" si="98"/>
        <v>44.04</v>
      </c>
      <c r="E6315" s="11"/>
      <c r="F6315" s="9"/>
    </row>
    <row r="6316" s="1" customFormat="1" customHeight="1" spans="1:6">
      <c r="A6316" s="9" t="str">
        <f>"10280521114"</f>
        <v>10280521114</v>
      </c>
      <c r="B6316" s="10">
        <v>46.96</v>
      </c>
      <c r="C6316" s="9"/>
      <c r="D6316" s="9">
        <f t="shared" si="98"/>
        <v>46.96</v>
      </c>
      <c r="E6316" s="11"/>
      <c r="F6316" s="9"/>
    </row>
    <row r="6317" s="1" customFormat="1" customHeight="1" spans="1:6">
      <c r="A6317" s="9" t="str">
        <f>"10170521115"</f>
        <v>10170521115</v>
      </c>
      <c r="B6317" s="10">
        <v>38.74</v>
      </c>
      <c r="C6317" s="9"/>
      <c r="D6317" s="9">
        <f t="shared" si="98"/>
        <v>38.74</v>
      </c>
      <c r="E6317" s="11"/>
      <c r="F6317" s="9"/>
    </row>
    <row r="6318" s="1" customFormat="1" customHeight="1" spans="1:6">
      <c r="A6318" s="9" t="str">
        <f>"10360521116"</f>
        <v>10360521116</v>
      </c>
      <c r="B6318" s="10">
        <v>36.23</v>
      </c>
      <c r="C6318" s="9"/>
      <c r="D6318" s="9">
        <f t="shared" si="98"/>
        <v>36.23</v>
      </c>
      <c r="E6318" s="11"/>
      <c r="F6318" s="9"/>
    </row>
    <row r="6319" s="1" customFormat="1" customHeight="1" spans="1:6">
      <c r="A6319" s="9" t="str">
        <f>"10500521117"</f>
        <v>10500521117</v>
      </c>
      <c r="B6319" s="10">
        <v>35.56</v>
      </c>
      <c r="C6319" s="9"/>
      <c r="D6319" s="9">
        <f t="shared" si="98"/>
        <v>35.56</v>
      </c>
      <c r="E6319" s="11"/>
      <c r="F6319" s="9"/>
    </row>
    <row r="6320" s="1" customFormat="1" customHeight="1" spans="1:6">
      <c r="A6320" s="9" t="str">
        <f>"10360521118"</f>
        <v>10360521118</v>
      </c>
      <c r="B6320" s="10">
        <v>0</v>
      </c>
      <c r="C6320" s="9"/>
      <c r="D6320" s="9">
        <f t="shared" si="98"/>
        <v>0</v>
      </c>
      <c r="E6320" s="11"/>
      <c r="F6320" s="9" t="s">
        <v>7</v>
      </c>
    </row>
    <row r="6321" s="1" customFormat="1" customHeight="1" spans="1:6">
      <c r="A6321" s="9" t="str">
        <f>"10080521119"</f>
        <v>10080521119</v>
      </c>
      <c r="B6321" s="10">
        <v>41.62</v>
      </c>
      <c r="C6321" s="9">
        <v>10</v>
      </c>
      <c r="D6321" s="9">
        <f t="shared" si="98"/>
        <v>51.62</v>
      </c>
      <c r="E6321" s="12" t="s">
        <v>8</v>
      </c>
      <c r="F6321" s="9"/>
    </row>
    <row r="6322" s="1" customFormat="1" customHeight="1" spans="1:6">
      <c r="A6322" s="9" t="str">
        <f>"10530521120"</f>
        <v>10530521120</v>
      </c>
      <c r="B6322" s="10">
        <v>42.03</v>
      </c>
      <c r="C6322" s="9"/>
      <c r="D6322" s="9">
        <f t="shared" si="98"/>
        <v>42.03</v>
      </c>
      <c r="E6322" s="11"/>
      <c r="F6322" s="9"/>
    </row>
    <row r="6323" s="1" customFormat="1" customHeight="1" spans="1:6">
      <c r="A6323" s="9" t="str">
        <f>"10500521121"</f>
        <v>10500521121</v>
      </c>
      <c r="B6323" s="10">
        <v>48.29</v>
      </c>
      <c r="C6323" s="9"/>
      <c r="D6323" s="9">
        <f t="shared" si="98"/>
        <v>48.29</v>
      </c>
      <c r="E6323" s="11"/>
      <c r="F6323" s="9"/>
    </row>
    <row r="6324" s="1" customFormat="1" customHeight="1" spans="1:6">
      <c r="A6324" s="9" t="str">
        <f>"10080521122"</f>
        <v>10080521122</v>
      </c>
      <c r="B6324" s="10">
        <v>45.85</v>
      </c>
      <c r="C6324" s="9"/>
      <c r="D6324" s="9">
        <f t="shared" si="98"/>
        <v>45.85</v>
      </c>
      <c r="E6324" s="11"/>
      <c r="F6324" s="9"/>
    </row>
    <row r="6325" s="1" customFormat="1" customHeight="1" spans="1:6">
      <c r="A6325" s="9" t="str">
        <f>"10320521123"</f>
        <v>10320521123</v>
      </c>
      <c r="B6325" s="10">
        <v>41.88</v>
      </c>
      <c r="C6325" s="9"/>
      <c r="D6325" s="9">
        <f t="shared" si="98"/>
        <v>41.88</v>
      </c>
      <c r="E6325" s="11"/>
      <c r="F6325" s="9"/>
    </row>
    <row r="6326" s="1" customFormat="1" customHeight="1" spans="1:6">
      <c r="A6326" s="9" t="str">
        <f>"10060521124"</f>
        <v>10060521124</v>
      </c>
      <c r="B6326" s="10">
        <v>39.67</v>
      </c>
      <c r="C6326" s="9"/>
      <c r="D6326" s="9">
        <f t="shared" si="98"/>
        <v>39.67</v>
      </c>
      <c r="E6326" s="11"/>
      <c r="F6326" s="9"/>
    </row>
    <row r="6327" s="1" customFormat="1" customHeight="1" spans="1:6">
      <c r="A6327" s="9" t="str">
        <f>"10500521125"</f>
        <v>10500521125</v>
      </c>
      <c r="B6327" s="10">
        <v>43.79</v>
      </c>
      <c r="C6327" s="9"/>
      <c r="D6327" s="9">
        <f t="shared" si="98"/>
        <v>43.79</v>
      </c>
      <c r="E6327" s="11"/>
      <c r="F6327" s="9"/>
    </row>
    <row r="6328" s="1" customFormat="1" customHeight="1" spans="1:6">
      <c r="A6328" s="9" t="str">
        <f>"10510521126"</f>
        <v>10510521126</v>
      </c>
      <c r="B6328" s="10">
        <v>0</v>
      </c>
      <c r="C6328" s="9"/>
      <c r="D6328" s="9">
        <f t="shared" si="98"/>
        <v>0</v>
      </c>
      <c r="E6328" s="11"/>
      <c r="F6328" s="9" t="s">
        <v>7</v>
      </c>
    </row>
    <row r="6329" s="1" customFormat="1" customHeight="1" spans="1:6">
      <c r="A6329" s="9" t="str">
        <f>"10360521127"</f>
        <v>10360521127</v>
      </c>
      <c r="B6329" s="10">
        <v>46.98</v>
      </c>
      <c r="C6329" s="9"/>
      <c r="D6329" s="9">
        <f t="shared" si="98"/>
        <v>46.98</v>
      </c>
      <c r="E6329" s="11"/>
      <c r="F6329" s="9"/>
    </row>
    <row r="6330" s="1" customFormat="1" customHeight="1" spans="1:6">
      <c r="A6330" s="9" t="str">
        <f>"10530521128"</f>
        <v>10530521128</v>
      </c>
      <c r="B6330" s="10">
        <v>30.63</v>
      </c>
      <c r="C6330" s="9"/>
      <c r="D6330" s="9">
        <f t="shared" si="98"/>
        <v>30.63</v>
      </c>
      <c r="E6330" s="11"/>
      <c r="F6330" s="9"/>
    </row>
    <row r="6331" s="1" customFormat="1" customHeight="1" spans="1:6">
      <c r="A6331" s="9" t="str">
        <f>"10360521129"</f>
        <v>10360521129</v>
      </c>
      <c r="B6331" s="10">
        <v>0</v>
      </c>
      <c r="C6331" s="9"/>
      <c r="D6331" s="9">
        <f t="shared" si="98"/>
        <v>0</v>
      </c>
      <c r="E6331" s="11"/>
      <c r="F6331" s="9" t="s">
        <v>7</v>
      </c>
    </row>
    <row r="6332" s="1" customFormat="1" customHeight="1" spans="1:6">
      <c r="A6332" s="9" t="str">
        <f>"10160521130"</f>
        <v>10160521130</v>
      </c>
      <c r="B6332" s="10">
        <v>0</v>
      </c>
      <c r="C6332" s="9"/>
      <c r="D6332" s="9">
        <f t="shared" si="98"/>
        <v>0</v>
      </c>
      <c r="E6332" s="11"/>
      <c r="F6332" s="9" t="s">
        <v>7</v>
      </c>
    </row>
    <row r="6333" s="1" customFormat="1" customHeight="1" spans="1:6">
      <c r="A6333" s="9" t="str">
        <f>"10360521201"</f>
        <v>10360521201</v>
      </c>
      <c r="B6333" s="10">
        <v>47.47</v>
      </c>
      <c r="C6333" s="9"/>
      <c r="D6333" s="9">
        <f t="shared" si="98"/>
        <v>47.47</v>
      </c>
      <c r="E6333" s="11"/>
      <c r="F6333" s="9"/>
    </row>
    <row r="6334" s="1" customFormat="1" customHeight="1" spans="1:6">
      <c r="A6334" s="9" t="str">
        <f>"10360521202"</f>
        <v>10360521202</v>
      </c>
      <c r="B6334" s="10">
        <v>0</v>
      </c>
      <c r="C6334" s="9"/>
      <c r="D6334" s="9">
        <f t="shared" si="98"/>
        <v>0</v>
      </c>
      <c r="E6334" s="11"/>
      <c r="F6334" s="9" t="s">
        <v>7</v>
      </c>
    </row>
    <row r="6335" s="1" customFormat="1" customHeight="1" spans="1:6">
      <c r="A6335" s="9" t="str">
        <f>"10360521203"</f>
        <v>10360521203</v>
      </c>
      <c r="B6335" s="10">
        <v>39.75</v>
      </c>
      <c r="C6335" s="9"/>
      <c r="D6335" s="9">
        <f t="shared" si="98"/>
        <v>39.75</v>
      </c>
      <c r="E6335" s="11"/>
      <c r="F6335" s="9"/>
    </row>
    <row r="6336" s="1" customFormat="1" customHeight="1" spans="1:6">
      <c r="A6336" s="9" t="str">
        <f>"10240521204"</f>
        <v>10240521204</v>
      </c>
      <c r="B6336" s="10">
        <v>43.52</v>
      </c>
      <c r="C6336" s="9"/>
      <c r="D6336" s="9">
        <f t="shared" si="98"/>
        <v>43.52</v>
      </c>
      <c r="E6336" s="11"/>
      <c r="F6336" s="9"/>
    </row>
    <row r="6337" s="1" customFormat="1" customHeight="1" spans="1:6">
      <c r="A6337" s="9" t="str">
        <f>"10060521205"</f>
        <v>10060521205</v>
      </c>
      <c r="B6337" s="10">
        <v>50.4</v>
      </c>
      <c r="C6337" s="9"/>
      <c r="D6337" s="9">
        <f t="shared" si="98"/>
        <v>50.4</v>
      </c>
      <c r="E6337" s="11"/>
      <c r="F6337" s="9"/>
    </row>
    <row r="6338" s="1" customFormat="1" customHeight="1" spans="1:6">
      <c r="A6338" s="9" t="str">
        <f>"10360521206"</f>
        <v>10360521206</v>
      </c>
      <c r="B6338" s="10">
        <v>31.94</v>
      </c>
      <c r="C6338" s="9"/>
      <c r="D6338" s="9">
        <f t="shared" si="98"/>
        <v>31.94</v>
      </c>
      <c r="E6338" s="11"/>
      <c r="F6338" s="9"/>
    </row>
    <row r="6339" s="1" customFormat="1" customHeight="1" spans="1:6">
      <c r="A6339" s="9" t="str">
        <f>"10350521207"</f>
        <v>10350521207</v>
      </c>
      <c r="B6339" s="10">
        <v>42.83</v>
      </c>
      <c r="C6339" s="9"/>
      <c r="D6339" s="9">
        <f t="shared" ref="D6339:D6402" si="99">SUM(B6339:C6339)</f>
        <v>42.83</v>
      </c>
      <c r="E6339" s="11"/>
      <c r="F6339" s="9"/>
    </row>
    <row r="6340" s="1" customFormat="1" customHeight="1" spans="1:6">
      <c r="A6340" s="9" t="str">
        <f>"10100521208"</f>
        <v>10100521208</v>
      </c>
      <c r="B6340" s="10">
        <v>31.96</v>
      </c>
      <c r="C6340" s="9"/>
      <c r="D6340" s="9">
        <f t="shared" si="99"/>
        <v>31.96</v>
      </c>
      <c r="E6340" s="11"/>
      <c r="F6340" s="9"/>
    </row>
    <row r="6341" s="1" customFormat="1" customHeight="1" spans="1:6">
      <c r="A6341" s="9" t="str">
        <f>"10340521209"</f>
        <v>10340521209</v>
      </c>
      <c r="B6341" s="10">
        <v>44.44</v>
      </c>
      <c r="C6341" s="9"/>
      <c r="D6341" s="9">
        <f t="shared" si="99"/>
        <v>44.44</v>
      </c>
      <c r="E6341" s="11"/>
      <c r="F6341" s="9"/>
    </row>
    <row r="6342" s="1" customFormat="1" customHeight="1" spans="1:6">
      <c r="A6342" s="9" t="str">
        <f>"10110521210"</f>
        <v>10110521210</v>
      </c>
      <c r="B6342" s="10">
        <v>39.15</v>
      </c>
      <c r="C6342" s="9"/>
      <c r="D6342" s="9">
        <f t="shared" si="99"/>
        <v>39.15</v>
      </c>
      <c r="E6342" s="11"/>
      <c r="F6342" s="9"/>
    </row>
    <row r="6343" s="1" customFormat="1" customHeight="1" spans="1:6">
      <c r="A6343" s="9" t="str">
        <f>"10360521211"</f>
        <v>10360521211</v>
      </c>
      <c r="B6343" s="10">
        <v>0</v>
      </c>
      <c r="C6343" s="9"/>
      <c r="D6343" s="9">
        <f t="shared" si="99"/>
        <v>0</v>
      </c>
      <c r="E6343" s="11"/>
      <c r="F6343" s="9" t="s">
        <v>7</v>
      </c>
    </row>
    <row r="6344" s="1" customFormat="1" customHeight="1" spans="1:6">
      <c r="A6344" s="9" t="str">
        <f>"10100521212"</f>
        <v>10100521212</v>
      </c>
      <c r="B6344" s="10">
        <v>0</v>
      </c>
      <c r="C6344" s="9"/>
      <c r="D6344" s="9">
        <f t="shared" si="99"/>
        <v>0</v>
      </c>
      <c r="E6344" s="11"/>
      <c r="F6344" s="9" t="s">
        <v>7</v>
      </c>
    </row>
    <row r="6345" s="1" customFormat="1" customHeight="1" spans="1:6">
      <c r="A6345" s="9" t="str">
        <f>"10150521213"</f>
        <v>10150521213</v>
      </c>
      <c r="B6345" s="10">
        <v>0</v>
      </c>
      <c r="C6345" s="9"/>
      <c r="D6345" s="9">
        <f t="shared" si="99"/>
        <v>0</v>
      </c>
      <c r="E6345" s="11"/>
      <c r="F6345" s="9" t="s">
        <v>7</v>
      </c>
    </row>
    <row r="6346" s="1" customFormat="1" customHeight="1" spans="1:6">
      <c r="A6346" s="9" t="str">
        <f>"10130521214"</f>
        <v>10130521214</v>
      </c>
      <c r="B6346" s="10">
        <v>44.83</v>
      </c>
      <c r="C6346" s="9"/>
      <c r="D6346" s="9">
        <f t="shared" si="99"/>
        <v>44.83</v>
      </c>
      <c r="E6346" s="11"/>
      <c r="F6346" s="9"/>
    </row>
    <row r="6347" s="1" customFormat="1" customHeight="1" spans="1:6">
      <c r="A6347" s="9" t="str">
        <f>"10360521215"</f>
        <v>10360521215</v>
      </c>
      <c r="B6347" s="10">
        <v>0</v>
      </c>
      <c r="C6347" s="9"/>
      <c r="D6347" s="9">
        <f t="shared" si="99"/>
        <v>0</v>
      </c>
      <c r="E6347" s="11"/>
      <c r="F6347" s="9" t="s">
        <v>7</v>
      </c>
    </row>
    <row r="6348" s="1" customFormat="1" customHeight="1" spans="1:6">
      <c r="A6348" s="9" t="str">
        <f>"10090521216"</f>
        <v>10090521216</v>
      </c>
      <c r="B6348" s="10">
        <v>43.98</v>
      </c>
      <c r="C6348" s="9"/>
      <c r="D6348" s="9">
        <f t="shared" si="99"/>
        <v>43.98</v>
      </c>
      <c r="E6348" s="11"/>
      <c r="F6348" s="9"/>
    </row>
    <row r="6349" s="1" customFormat="1" customHeight="1" spans="1:6">
      <c r="A6349" s="9" t="str">
        <f>"10360521217"</f>
        <v>10360521217</v>
      </c>
      <c r="B6349" s="10">
        <v>44.96</v>
      </c>
      <c r="C6349" s="9"/>
      <c r="D6349" s="9">
        <f t="shared" si="99"/>
        <v>44.96</v>
      </c>
      <c r="E6349" s="11"/>
      <c r="F6349" s="9"/>
    </row>
    <row r="6350" s="1" customFormat="1" customHeight="1" spans="1:6">
      <c r="A6350" s="9" t="str">
        <f>"10300521218"</f>
        <v>10300521218</v>
      </c>
      <c r="B6350" s="10">
        <v>42.92</v>
      </c>
      <c r="C6350" s="9"/>
      <c r="D6350" s="9">
        <f t="shared" si="99"/>
        <v>42.92</v>
      </c>
      <c r="E6350" s="11"/>
      <c r="F6350" s="9"/>
    </row>
    <row r="6351" s="1" customFormat="1" customHeight="1" spans="1:6">
      <c r="A6351" s="9" t="str">
        <f>"10360521219"</f>
        <v>10360521219</v>
      </c>
      <c r="B6351" s="10">
        <v>36.88</v>
      </c>
      <c r="C6351" s="9"/>
      <c r="D6351" s="9">
        <f t="shared" si="99"/>
        <v>36.88</v>
      </c>
      <c r="E6351" s="11"/>
      <c r="F6351" s="9"/>
    </row>
    <row r="6352" s="1" customFormat="1" customHeight="1" spans="1:6">
      <c r="A6352" s="9" t="str">
        <f>"10330521220"</f>
        <v>10330521220</v>
      </c>
      <c r="B6352" s="10">
        <v>35.85</v>
      </c>
      <c r="C6352" s="9"/>
      <c r="D6352" s="9">
        <f t="shared" si="99"/>
        <v>35.85</v>
      </c>
      <c r="E6352" s="11"/>
      <c r="F6352" s="9"/>
    </row>
    <row r="6353" s="1" customFormat="1" customHeight="1" spans="1:6">
      <c r="A6353" s="9" t="str">
        <f>"10010521221"</f>
        <v>10010521221</v>
      </c>
      <c r="B6353" s="10">
        <v>44.91</v>
      </c>
      <c r="C6353" s="9"/>
      <c r="D6353" s="9">
        <f t="shared" si="99"/>
        <v>44.91</v>
      </c>
      <c r="E6353" s="11"/>
      <c r="F6353" s="9"/>
    </row>
    <row r="6354" s="1" customFormat="1" customHeight="1" spans="1:6">
      <c r="A6354" s="9" t="str">
        <f>"10020521222"</f>
        <v>10020521222</v>
      </c>
      <c r="B6354" s="10">
        <v>35.58</v>
      </c>
      <c r="C6354" s="9"/>
      <c r="D6354" s="9">
        <f t="shared" si="99"/>
        <v>35.58</v>
      </c>
      <c r="E6354" s="11"/>
      <c r="F6354" s="9"/>
    </row>
    <row r="6355" s="1" customFormat="1" customHeight="1" spans="1:6">
      <c r="A6355" s="9" t="str">
        <f>"10120521223"</f>
        <v>10120521223</v>
      </c>
      <c r="B6355" s="10">
        <v>0</v>
      </c>
      <c r="C6355" s="9"/>
      <c r="D6355" s="9">
        <f t="shared" si="99"/>
        <v>0</v>
      </c>
      <c r="E6355" s="11"/>
      <c r="F6355" s="9" t="s">
        <v>7</v>
      </c>
    </row>
    <row r="6356" s="1" customFormat="1" customHeight="1" spans="1:6">
      <c r="A6356" s="9" t="str">
        <f>"10360521224"</f>
        <v>10360521224</v>
      </c>
      <c r="B6356" s="10">
        <v>31.73</v>
      </c>
      <c r="C6356" s="9"/>
      <c r="D6356" s="9">
        <f t="shared" si="99"/>
        <v>31.73</v>
      </c>
      <c r="E6356" s="11"/>
      <c r="F6356" s="9"/>
    </row>
    <row r="6357" s="1" customFormat="1" customHeight="1" spans="1:6">
      <c r="A6357" s="9" t="str">
        <f>"10360521225"</f>
        <v>10360521225</v>
      </c>
      <c r="B6357" s="10">
        <v>36.12</v>
      </c>
      <c r="C6357" s="9"/>
      <c r="D6357" s="9">
        <f t="shared" si="99"/>
        <v>36.12</v>
      </c>
      <c r="E6357" s="11"/>
      <c r="F6357" s="9"/>
    </row>
    <row r="6358" s="1" customFormat="1" customHeight="1" spans="1:6">
      <c r="A6358" s="9" t="str">
        <f>"10110521226"</f>
        <v>10110521226</v>
      </c>
      <c r="B6358" s="10">
        <v>0</v>
      </c>
      <c r="C6358" s="9"/>
      <c r="D6358" s="9">
        <f t="shared" si="99"/>
        <v>0</v>
      </c>
      <c r="E6358" s="11"/>
      <c r="F6358" s="9" t="s">
        <v>7</v>
      </c>
    </row>
    <row r="6359" s="1" customFormat="1" customHeight="1" spans="1:6">
      <c r="A6359" s="9" t="str">
        <f>"10260521227"</f>
        <v>10260521227</v>
      </c>
      <c r="B6359" s="10">
        <v>39.18</v>
      </c>
      <c r="C6359" s="9"/>
      <c r="D6359" s="9">
        <f t="shared" si="99"/>
        <v>39.18</v>
      </c>
      <c r="E6359" s="11"/>
      <c r="F6359" s="9"/>
    </row>
    <row r="6360" s="1" customFormat="1" customHeight="1" spans="1:6">
      <c r="A6360" s="9" t="str">
        <f>"10510521228"</f>
        <v>10510521228</v>
      </c>
      <c r="B6360" s="10">
        <v>34.76</v>
      </c>
      <c r="C6360" s="9"/>
      <c r="D6360" s="9">
        <f t="shared" si="99"/>
        <v>34.76</v>
      </c>
      <c r="E6360" s="11"/>
      <c r="F6360" s="9"/>
    </row>
    <row r="6361" s="1" customFormat="1" customHeight="1" spans="1:6">
      <c r="A6361" s="9" t="str">
        <f>"10360521229"</f>
        <v>10360521229</v>
      </c>
      <c r="B6361" s="10">
        <v>36.1</v>
      </c>
      <c r="C6361" s="9"/>
      <c r="D6361" s="9">
        <f t="shared" si="99"/>
        <v>36.1</v>
      </c>
      <c r="E6361" s="11"/>
      <c r="F6361" s="9"/>
    </row>
    <row r="6362" s="1" customFormat="1" customHeight="1" spans="1:6">
      <c r="A6362" s="9" t="str">
        <f>"10360521230"</f>
        <v>10360521230</v>
      </c>
      <c r="B6362" s="10">
        <v>37.83</v>
      </c>
      <c r="C6362" s="9"/>
      <c r="D6362" s="9">
        <f t="shared" si="99"/>
        <v>37.83</v>
      </c>
      <c r="E6362" s="11"/>
      <c r="F6362" s="9"/>
    </row>
    <row r="6363" s="1" customFormat="1" customHeight="1" spans="1:6">
      <c r="A6363" s="9" t="str">
        <f>"10300521301"</f>
        <v>10300521301</v>
      </c>
      <c r="B6363" s="10">
        <v>45.19</v>
      </c>
      <c r="C6363" s="9"/>
      <c r="D6363" s="9">
        <f t="shared" si="99"/>
        <v>45.19</v>
      </c>
      <c r="E6363" s="11"/>
      <c r="F6363" s="9"/>
    </row>
    <row r="6364" s="1" customFormat="1" customHeight="1" spans="1:6">
      <c r="A6364" s="9" t="str">
        <f>"10130521302"</f>
        <v>10130521302</v>
      </c>
      <c r="B6364" s="10">
        <v>46.36</v>
      </c>
      <c r="C6364" s="9"/>
      <c r="D6364" s="9">
        <f t="shared" si="99"/>
        <v>46.36</v>
      </c>
      <c r="E6364" s="11"/>
      <c r="F6364" s="9"/>
    </row>
    <row r="6365" s="1" customFormat="1" customHeight="1" spans="1:6">
      <c r="A6365" s="9" t="str">
        <f>"10440521303"</f>
        <v>10440521303</v>
      </c>
      <c r="B6365" s="10">
        <v>44.96</v>
      </c>
      <c r="C6365" s="9"/>
      <c r="D6365" s="9">
        <f t="shared" si="99"/>
        <v>44.96</v>
      </c>
      <c r="E6365" s="11"/>
      <c r="F6365" s="9"/>
    </row>
    <row r="6366" s="1" customFormat="1" customHeight="1" spans="1:6">
      <c r="A6366" s="9" t="str">
        <f>"10010521304"</f>
        <v>10010521304</v>
      </c>
      <c r="B6366" s="10">
        <v>39.69</v>
      </c>
      <c r="C6366" s="9"/>
      <c r="D6366" s="9">
        <f t="shared" si="99"/>
        <v>39.69</v>
      </c>
      <c r="E6366" s="11"/>
      <c r="F6366" s="9"/>
    </row>
    <row r="6367" s="1" customFormat="1" customHeight="1" spans="1:6">
      <c r="A6367" s="9" t="str">
        <f>"10360521305"</f>
        <v>10360521305</v>
      </c>
      <c r="B6367" s="10">
        <v>34.58</v>
      </c>
      <c r="C6367" s="9"/>
      <c r="D6367" s="9">
        <f t="shared" si="99"/>
        <v>34.58</v>
      </c>
      <c r="E6367" s="11"/>
      <c r="F6367" s="9"/>
    </row>
    <row r="6368" s="1" customFormat="1" customHeight="1" spans="1:6">
      <c r="A6368" s="9" t="str">
        <f>"10010521306"</f>
        <v>10010521306</v>
      </c>
      <c r="B6368" s="10">
        <v>42.64</v>
      </c>
      <c r="C6368" s="9"/>
      <c r="D6368" s="9">
        <f t="shared" si="99"/>
        <v>42.64</v>
      </c>
      <c r="E6368" s="11"/>
      <c r="F6368" s="9"/>
    </row>
    <row r="6369" s="1" customFormat="1" customHeight="1" spans="1:6">
      <c r="A6369" s="9" t="str">
        <f>"10290521307"</f>
        <v>10290521307</v>
      </c>
      <c r="B6369" s="10">
        <v>41.21</v>
      </c>
      <c r="C6369" s="9"/>
      <c r="D6369" s="9">
        <f t="shared" si="99"/>
        <v>41.21</v>
      </c>
      <c r="E6369" s="11"/>
      <c r="F6369" s="9"/>
    </row>
    <row r="6370" s="1" customFormat="1" customHeight="1" spans="1:6">
      <c r="A6370" s="9" t="str">
        <f>"10170521308"</f>
        <v>10170521308</v>
      </c>
      <c r="B6370" s="10">
        <v>42.37</v>
      </c>
      <c r="C6370" s="9"/>
      <c r="D6370" s="9">
        <f t="shared" si="99"/>
        <v>42.37</v>
      </c>
      <c r="E6370" s="11"/>
      <c r="F6370" s="9"/>
    </row>
    <row r="6371" s="1" customFormat="1" customHeight="1" spans="1:6">
      <c r="A6371" s="9" t="str">
        <f>"10210521309"</f>
        <v>10210521309</v>
      </c>
      <c r="B6371" s="10">
        <v>43.35</v>
      </c>
      <c r="C6371" s="9"/>
      <c r="D6371" s="9">
        <f t="shared" si="99"/>
        <v>43.35</v>
      </c>
      <c r="E6371" s="11"/>
      <c r="F6371" s="9"/>
    </row>
    <row r="6372" s="1" customFormat="1" customHeight="1" spans="1:6">
      <c r="A6372" s="9" t="str">
        <f>"10360521310"</f>
        <v>10360521310</v>
      </c>
      <c r="B6372" s="10">
        <v>34.88</v>
      </c>
      <c r="C6372" s="9">
        <v>10</v>
      </c>
      <c r="D6372" s="9">
        <f t="shared" si="99"/>
        <v>44.88</v>
      </c>
      <c r="E6372" s="12" t="s">
        <v>8</v>
      </c>
      <c r="F6372" s="9"/>
    </row>
    <row r="6373" s="1" customFormat="1" customHeight="1" spans="1:6">
      <c r="A6373" s="9" t="str">
        <f>"10340521311"</f>
        <v>10340521311</v>
      </c>
      <c r="B6373" s="10">
        <v>0</v>
      </c>
      <c r="C6373" s="9"/>
      <c r="D6373" s="9">
        <f t="shared" si="99"/>
        <v>0</v>
      </c>
      <c r="E6373" s="11"/>
      <c r="F6373" s="9" t="s">
        <v>7</v>
      </c>
    </row>
    <row r="6374" s="1" customFormat="1" customHeight="1" spans="1:6">
      <c r="A6374" s="9" t="str">
        <f>"10340521312"</f>
        <v>10340521312</v>
      </c>
      <c r="B6374" s="10">
        <v>40.63</v>
      </c>
      <c r="C6374" s="9"/>
      <c r="D6374" s="9">
        <f t="shared" si="99"/>
        <v>40.63</v>
      </c>
      <c r="E6374" s="11"/>
      <c r="F6374" s="9"/>
    </row>
    <row r="6375" s="1" customFormat="1" customHeight="1" spans="1:6">
      <c r="A6375" s="9" t="str">
        <f>"10360521313"</f>
        <v>10360521313</v>
      </c>
      <c r="B6375" s="10">
        <v>48.78</v>
      </c>
      <c r="C6375" s="9"/>
      <c r="D6375" s="9">
        <f t="shared" si="99"/>
        <v>48.78</v>
      </c>
      <c r="E6375" s="11"/>
      <c r="F6375" s="9"/>
    </row>
    <row r="6376" s="1" customFormat="1" customHeight="1" spans="1:6">
      <c r="A6376" s="9" t="str">
        <f>"10360521314"</f>
        <v>10360521314</v>
      </c>
      <c r="B6376" s="10">
        <v>40.29</v>
      </c>
      <c r="C6376" s="9"/>
      <c r="D6376" s="9">
        <f t="shared" si="99"/>
        <v>40.29</v>
      </c>
      <c r="E6376" s="11"/>
      <c r="F6376" s="9"/>
    </row>
    <row r="6377" s="1" customFormat="1" customHeight="1" spans="1:6">
      <c r="A6377" s="9" t="str">
        <f>"10180521315"</f>
        <v>10180521315</v>
      </c>
      <c r="B6377" s="10">
        <v>34.18</v>
      </c>
      <c r="C6377" s="9"/>
      <c r="D6377" s="9">
        <f t="shared" si="99"/>
        <v>34.18</v>
      </c>
      <c r="E6377" s="11"/>
      <c r="F6377" s="9"/>
    </row>
    <row r="6378" s="1" customFormat="1" customHeight="1" spans="1:6">
      <c r="A6378" s="9" t="str">
        <f>"10060521316"</f>
        <v>10060521316</v>
      </c>
      <c r="B6378" s="10">
        <v>0</v>
      </c>
      <c r="C6378" s="9"/>
      <c r="D6378" s="9">
        <f t="shared" si="99"/>
        <v>0</v>
      </c>
      <c r="E6378" s="11"/>
      <c r="F6378" s="9" t="s">
        <v>7</v>
      </c>
    </row>
    <row r="6379" s="1" customFormat="1" customHeight="1" spans="1:6">
      <c r="A6379" s="9" t="str">
        <f>"10210521317"</f>
        <v>10210521317</v>
      </c>
      <c r="B6379" s="10">
        <v>39.88</v>
      </c>
      <c r="C6379" s="9"/>
      <c r="D6379" s="9">
        <f t="shared" si="99"/>
        <v>39.88</v>
      </c>
      <c r="E6379" s="11"/>
      <c r="F6379" s="9"/>
    </row>
    <row r="6380" s="1" customFormat="1" customHeight="1" spans="1:6">
      <c r="A6380" s="9" t="str">
        <f>"10380521318"</f>
        <v>10380521318</v>
      </c>
      <c r="B6380" s="10">
        <v>42.74</v>
      </c>
      <c r="C6380" s="9"/>
      <c r="D6380" s="9">
        <f t="shared" si="99"/>
        <v>42.74</v>
      </c>
      <c r="E6380" s="11"/>
      <c r="F6380" s="9"/>
    </row>
    <row r="6381" s="1" customFormat="1" customHeight="1" spans="1:6">
      <c r="A6381" s="9" t="str">
        <f>"10210521319"</f>
        <v>10210521319</v>
      </c>
      <c r="B6381" s="10">
        <v>0</v>
      </c>
      <c r="C6381" s="9"/>
      <c r="D6381" s="9">
        <f t="shared" si="99"/>
        <v>0</v>
      </c>
      <c r="E6381" s="11"/>
      <c r="F6381" s="9" t="s">
        <v>7</v>
      </c>
    </row>
    <row r="6382" s="1" customFormat="1" customHeight="1" spans="1:6">
      <c r="A6382" s="9" t="str">
        <f>"10160521320"</f>
        <v>10160521320</v>
      </c>
      <c r="B6382" s="10">
        <v>39.79</v>
      </c>
      <c r="C6382" s="9"/>
      <c r="D6382" s="9">
        <f t="shared" si="99"/>
        <v>39.79</v>
      </c>
      <c r="E6382" s="11"/>
      <c r="F6382" s="9"/>
    </row>
    <row r="6383" s="1" customFormat="1" customHeight="1" spans="1:6">
      <c r="A6383" s="9" t="str">
        <f>"10330521321"</f>
        <v>10330521321</v>
      </c>
      <c r="B6383" s="10">
        <v>0</v>
      </c>
      <c r="C6383" s="9"/>
      <c r="D6383" s="9">
        <f t="shared" si="99"/>
        <v>0</v>
      </c>
      <c r="E6383" s="11"/>
      <c r="F6383" s="9" t="s">
        <v>7</v>
      </c>
    </row>
    <row r="6384" s="1" customFormat="1" customHeight="1" spans="1:6">
      <c r="A6384" s="9" t="str">
        <f>"10130521322"</f>
        <v>10130521322</v>
      </c>
      <c r="B6384" s="10">
        <v>39.97</v>
      </c>
      <c r="C6384" s="9"/>
      <c r="D6384" s="9">
        <f t="shared" si="99"/>
        <v>39.97</v>
      </c>
      <c r="E6384" s="11"/>
      <c r="F6384" s="9"/>
    </row>
    <row r="6385" s="1" customFormat="1" customHeight="1" spans="1:6">
      <c r="A6385" s="9" t="str">
        <f>"10360521323"</f>
        <v>10360521323</v>
      </c>
      <c r="B6385" s="10">
        <v>45.33</v>
      </c>
      <c r="C6385" s="9"/>
      <c r="D6385" s="9">
        <f t="shared" si="99"/>
        <v>45.33</v>
      </c>
      <c r="E6385" s="11"/>
      <c r="F6385" s="9"/>
    </row>
    <row r="6386" s="1" customFormat="1" customHeight="1" spans="1:6">
      <c r="A6386" s="9" t="str">
        <f>"10430521324"</f>
        <v>10430521324</v>
      </c>
      <c r="B6386" s="10">
        <v>43.14</v>
      </c>
      <c r="C6386" s="9"/>
      <c r="D6386" s="9">
        <f t="shared" si="99"/>
        <v>43.14</v>
      </c>
      <c r="E6386" s="11"/>
      <c r="F6386" s="9"/>
    </row>
    <row r="6387" s="1" customFormat="1" customHeight="1" spans="1:6">
      <c r="A6387" s="9" t="str">
        <f>"10210521325"</f>
        <v>10210521325</v>
      </c>
      <c r="B6387" s="10">
        <v>40.62</v>
      </c>
      <c r="C6387" s="9"/>
      <c r="D6387" s="9">
        <f t="shared" si="99"/>
        <v>40.62</v>
      </c>
      <c r="E6387" s="11"/>
      <c r="F6387" s="9"/>
    </row>
    <row r="6388" s="1" customFormat="1" customHeight="1" spans="1:6">
      <c r="A6388" s="9" t="str">
        <f>"10100521326"</f>
        <v>10100521326</v>
      </c>
      <c r="B6388" s="10">
        <v>0</v>
      </c>
      <c r="C6388" s="9"/>
      <c r="D6388" s="9">
        <f t="shared" si="99"/>
        <v>0</v>
      </c>
      <c r="E6388" s="11"/>
      <c r="F6388" s="9" t="s">
        <v>7</v>
      </c>
    </row>
    <row r="6389" s="1" customFormat="1" customHeight="1" spans="1:6">
      <c r="A6389" s="9" t="str">
        <f>"10530521327"</f>
        <v>10530521327</v>
      </c>
      <c r="B6389" s="10">
        <v>39.7</v>
      </c>
      <c r="C6389" s="9"/>
      <c r="D6389" s="9">
        <f t="shared" si="99"/>
        <v>39.7</v>
      </c>
      <c r="E6389" s="11"/>
      <c r="F6389" s="9"/>
    </row>
    <row r="6390" s="1" customFormat="1" customHeight="1" spans="1:6">
      <c r="A6390" s="9" t="str">
        <f>"10140521328"</f>
        <v>10140521328</v>
      </c>
      <c r="B6390" s="10">
        <v>49.92</v>
      </c>
      <c r="C6390" s="9"/>
      <c r="D6390" s="9">
        <f t="shared" si="99"/>
        <v>49.92</v>
      </c>
      <c r="E6390" s="11"/>
      <c r="F6390" s="9"/>
    </row>
    <row r="6391" s="1" customFormat="1" customHeight="1" spans="1:6">
      <c r="A6391" s="9" t="str">
        <f>"10360521329"</f>
        <v>10360521329</v>
      </c>
      <c r="B6391" s="10">
        <v>0</v>
      </c>
      <c r="C6391" s="9"/>
      <c r="D6391" s="9">
        <f t="shared" si="99"/>
        <v>0</v>
      </c>
      <c r="E6391" s="11"/>
      <c r="F6391" s="9" t="s">
        <v>7</v>
      </c>
    </row>
    <row r="6392" s="1" customFormat="1" customHeight="1" spans="1:6">
      <c r="A6392" s="9" t="str">
        <f>"10420521330"</f>
        <v>10420521330</v>
      </c>
      <c r="B6392" s="10">
        <v>43.84</v>
      </c>
      <c r="C6392" s="9"/>
      <c r="D6392" s="9">
        <f t="shared" si="99"/>
        <v>43.84</v>
      </c>
      <c r="E6392" s="11"/>
      <c r="F6392" s="9"/>
    </row>
    <row r="6393" s="1" customFormat="1" customHeight="1" spans="1:6">
      <c r="A6393" s="9" t="str">
        <f>"10300521401"</f>
        <v>10300521401</v>
      </c>
      <c r="B6393" s="10">
        <v>0</v>
      </c>
      <c r="C6393" s="9"/>
      <c r="D6393" s="9">
        <f t="shared" si="99"/>
        <v>0</v>
      </c>
      <c r="E6393" s="11"/>
      <c r="F6393" s="9" t="s">
        <v>7</v>
      </c>
    </row>
    <row r="6394" s="1" customFormat="1" customHeight="1" spans="1:6">
      <c r="A6394" s="9" t="str">
        <f>"10360521402"</f>
        <v>10360521402</v>
      </c>
      <c r="B6394" s="10">
        <v>40.86</v>
      </c>
      <c r="C6394" s="9"/>
      <c r="D6394" s="9">
        <f t="shared" si="99"/>
        <v>40.86</v>
      </c>
      <c r="E6394" s="11"/>
      <c r="F6394" s="9"/>
    </row>
    <row r="6395" s="1" customFormat="1" customHeight="1" spans="1:6">
      <c r="A6395" s="9" t="str">
        <f>"10360521403"</f>
        <v>10360521403</v>
      </c>
      <c r="B6395" s="10">
        <v>37.28</v>
      </c>
      <c r="C6395" s="9"/>
      <c r="D6395" s="9">
        <f t="shared" si="99"/>
        <v>37.28</v>
      </c>
      <c r="E6395" s="11"/>
      <c r="F6395" s="9"/>
    </row>
    <row r="6396" s="1" customFormat="1" customHeight="1" spans="1:6">
      <c r="A6396" s="9" t="str">
        <f>"10100521404"</f>
        <v>10100521404</v>
      </c>
      <c r="B6396" s="10">
        <v>0</v>
      </c>
      <c r="C6396" s="9"/>
      <c r="D6396" s="9">
        <f t="shared" si="99"/>
        <v>0</v>
      </c>
      <c r="E6396" s="11"/>
      <c r="F6396" s="9" t="s">
        <v>7</v>
      </c>
    </row>
    <row r="6397" s="1" customFormat="1" customHeight="1" spans="1:6">
      <c r="A6397" s="9" t="str">
        <f>"10210521405"</f>
        <v>10210521405</v>
      </c>
      <c r="B6397" s="10">
        <v>38.95</v>
      </c>
      <c r="C6397" s="9"/>
      <c r="D6397" s="9">
        <f t="shared" si="99"/>
        <v>38.95</v>
      </c>
      <c r="E6397" s="11"/>
      <c r="F6397" s="9"/>
    </row>
    <row r="6398" s="1" customFormat="1" customHeight="1" spans="1:6">
      <c r="A6398" s="9" t="str">
        <f>"10530521406"</f>
        <v>10530521406</v>
      </c>
      <c r="B6398" s="10">
        <v>0</v>
      </c>
      <c r="C6398" s="9"/>
      <c r="D6398" s="9">
        <f t="shared" si="99"/>
        <v>0</v>
      </c>
      <c r="E6398" s="11"/>
      <c r="F6398" s="9" t="s">
        <v>7</v>
      </c>
    </row>
    <row r="6399" s="1" customFormat="1" customHeight="1" spans="1:6">
      <c r="A6399" s="9" t="str">
        <f>"10300521407"</f>
        <v>10300521407</v>
      </c>
      <c r="B6399" s="10">
        <v>0</v>
      </c>
      <c r="C6399" s="9"/>
      <c r="D6399" s="9">
        <f t="shared" si="99"/>
        <v>0</v>
      </c>
      <c r="E6399" s="11"/>
      <c r="F6399" s="9" t="s">
        <v>7</v>
      </c>
    </row>
    <row r="6400" s="1" customFormat="1" customHeight="1" spans="1:6">
      <c r="A6400" s="9" t="str">
        <f>"10360521408"</f>
        <v>10360521408</v>
      </c>
      <c r="B6400" s="10">
        <v>51.09</v>
      </c>
      <c r="C6400" s="9"/>
      <c r="D6400" s="9">
        <f t="shared" si="99"/>
        <v>51.09</v>
      </c>
      <c r="E6400" s="11"/>
      <c r="F6400" s="9"/>
    </row>
    <row r="6401" s="1" customFormat="1" customHeight="1" spans="1:6">
      <c r="A6401" s="9" t="str">
        <f>"10290521409"</f>
        <v>10290521409</v>
      </c>
      <c r="B6401" s="10">
        <v>38.22</v>
      </c>
      <c r="C6401" s="9"/>
      <c r="D6401" s="9">
        <f t="shared" si="99"/>
        <v>38.22</v>
      </c>
      <c r="E6401" s="11"/>
      <c r="F6401" s="9"/>
    </row>
    <row r="6402" s="1" customFormat="1" customHeight="1" spans="1:6">
      <c r="A6402" s="9" t="str">
        <f>"10130521410"</f>
        <v>10130521410</v>
      </c>
      <c r="B6402" s="10">
        <v>45.08</v>
      </c>
      <c r="C6402" s="9"/>
      <c r="D6402" s="9">
        <f t="shared" si="99"/>
        <v>45.08</v>
      </c>
      <c r="E6402" s="11"/>
      <c r="F6402" s="9"/>
    </row>
    <row r="6403" s="1" customFormat="1" customHeight="1" spans="1:6">
      <c r="A6403" s="9" t="str">
        <f>"10330521411"</f>
        <v>10330521411</v>
      </c>
      <c r="B6403" s="10">
        <v>0</v>
      </c>
      <c r="C6403" s="9"/>
      <c r="D6403" s="9">
        <f t="shared" ref="D6403:D6466" si="100">SUM(B6403:C6403)</f>
        <v>0</v>
      </c>
      <c r="E6403" s="11"/>
      <c r="F6403" s="9" t="s">
        <v>7</v>
      </c>
    </row>
    <row r="6404" s="1" customFormat="1" customHeight="1" spans="1:6">
      <c r="A6404" s="9" t="str">
        <f>"10360521412"</f>
        <v>10360521412</v>
      </c>
      <c r="B6404" s="10">
        <v>36.1</v>
      </c>
      <c r="C6404" s="9"/>
      <c r="D6404" s="9">
        <f t="shared" si="100"/>
        <v>36.1</v>
      </c>
      <c r="E6404" s="11"/>
      <c r="F6404" s="9"/>
    </row>
    <row r="6405" s="1" customFormat="1" customHeight="1" spans="1:6">
      <c r="A6405" s="9" t="str">
        <f>"10060521413"</f>
        <v>10060521413</v>
      </c>
      <c r="B6405" s="10">
        <v>0</v>
      </c>
      <c r="C6405" s="9"/>
      <c r="D6405" s="9">
        <f t="shared" si="100"/>
        <v>0</v>
      </c>
      <c r="E6405" s="11"/>
      <c r="F6405" s="9" t="s">
        <v>7</v>
      </c>
    </row>
    <row r="6406" s="1" customFormat="1" customHeight="1" spans="1:6">
      <c r="A6406" s="9" t="str">
        <f>"10070521414"</f>
        <v>10070521414</v>
      </c>
      <c r="B6406" s="10">
        <v>0</v>
      </c>
      <c r="C6406" s="9"/>
      <c r="D6406" s="9">
        <f t="shared" si="100"/>
        <v>0</v>
      </c>
      <c r="E6406" s="11"/>
      <c r="F6406" s="9" t="s">
        <v>7</v>
      </c>
    </row>
    <row r="6407" s="1" customFormat="1" customHeight="1" spans="1:6">
      <c r="A6407" s="9" t="str">
        <f>"10330521415"</f>
        <v>10330521415</v>
      </c>
      <c r="B6407" s="10">
        <v>38.5</v>
      </c>
      <c r="C6407" s="9"/>
      <c r="D6407" s="9">
        <f t="shared" si="100"/>
        <v>38.5</v>
      </c>
      <c r="E6407" s="11"/>
      <c r="F6407" s="9"/>
    </row>
    <row r="6408" s="1" customFormat="1" customHeight="1" spans="1:6">
      <c r="A6408" s="9" t="str">
        <f>"10360521416"</f>
        <v>10360521416</v>
      </c>
      <c r="B6408" s="10">
        <v>42.27</v>
      </c>
      <c r="C6408" s="9"/>
      <c r="D6408" s="9">
        <f t="shared" si="100"/>
        <v>42.27</v>
      </c>
      <c r="E6408" s="11"/>
      <c r="F6408" s="9"/>
    </row>
    <row r="6409" s="1" customFormat="1" customHeight="1" spans="1:6">
      <c r="A6409" s="9" t="str">
        <f>"10360521417"</f>
        <v>10360521417</v>
      </c>
      <c r="B6409" s="10">
        <v>42.32</v>
      </c>
      <c r="C6409" s="9"/>
      <c r="D6409" s="9">
        <f t="shared" si="100"/>
        <v>42.32</v>
      </c>
      <c r="E6409" s="11"/>
      <c r="F6409" s="9"/>
    </row>
    <row r="6410" s="1" customFormat="1" customHeight="1" spans="1:6">
      <c r="A6410" s="9" t="str">
        <f>"10360521418"</f>
        <v>10360521418</v>
      </c>
      <c r="B6410" s="10">
        <v>45.91</v>
      </c>
      <c r="C6410" s="9"/>
      <c r="D6410" s="9">
        <f t="shared" si="100"/>
        <v>45.91</v>
      </c>
      <c r="E6410" s="11"/>
      <c r="F6410" s="9"/>
    </row>
    <row r="6411" s="1" customFormat="1" customHeight="1" spans="1:6">
      <c r="A6411" s="9" t="str">
        <f>"10160521419"</f>
        <v>10160521419</v>
      </c>
      <c r="B6411" s="10">
        <v>0</v>
      </c>
      <c r="C6411" s="9"/>
      <c r="D6411" s="9">
        <f t="shared" si="100"/>
        <v>0</v>
      </c>
      <c r="E6411" s="11"/>
      <c r="F6411" s="9" t="s">
        <v>7</v>
      </c>
    </row>
    <row r="6412" s="1" customFormat="1" customHeight="1" spans="1:6">
      <c r="A6412" s="9" t="str">
        <f>"10120521420"</f>
        <v>10120521420</v>
      </c>
      <c r="B6412" s="10">
        <v>38.64</v>
      </c>
      <c r="C6412" s="9"/>
      <c r="D6412" s="9">
        <f t="shared" si="100"/>
        <v>38.64</v>
      </c>
      <c r="E6412" s="11"/>
      <c r="F6412" s="9"/>
    </row>
    <row r="6413" s="1" customFormat="1" customHeight="1" spans="1:6">
      <c r="A6413" s="9" t="str">
        <f>"10200521421"</f>
        <v>10200521421</v>
      </c>
      <c r="B6413" s="10">
        <v>44.94</v>
      </c>
      <c r="C6413" s="9"/>
      <c r="D6413" s="9">
        <f t="shared" si="100"/>
        <v>44.94</v>
      </c>
      <c r="E6413" s="11"/>
      <c r="F6413" s="9"/>
    </row>
    <row r="6414" s="1" customFormat="1" customHeight="1" spans="1:6">
      <c r="A6414" s="9" t="str">
        <f>"10510521422"</f>
        <v>10510521422</v>
      </c>
      <c r="B6414" s="10">
        <v>34.88</v>
      </c>
      <c r="C6414" s="9"/>
      <c r="D6414" s="9">
        <f t="shared" si="100"/>
        <v>34.88</v>
      </c>
      <c r="E6414" s="11"/>
      <c r="F6414" s="9"/>
    </row>
    <row r="6415" s="1" customFormat="1" customHeight="1" spans="1:6">
      <c r="A6415" s="9" t="str">
        <f>"10200521423"</f>
        <v>10200521423</v>
      </c>
      <c r="B6415" s="10">
        <v>37.83</v>
      </c>
      <c r="C6415" s="9"/>
      <c r="D6415" s="9">
        <f t="shared" si="100"/>
        <v>37.83</v>
      </c>
      <c r="E6415" s="11"/>
      <c r="F6415" s="9"/>
    </row>
    <row r="6416" s="1" customFormat="1" customHeight="1" spans="1:6">
      <c r="A6416" s="9" t="str">
        <f>"10350521424"</f>
        <v>10350521424</v>
      </c>
      <c r="B6416" s="10">
        <v>42.74</v>
      </c>
      <c r="C6416" s="9"/>
      <c r="D6416" s="9">
        <f t="shared" si="100"/>
        <v>42.74</v>
      </c>
      <c r="E6416" s="11"/>
      <c r="F6416" s="9"/>
    </row>
    <row r="6417" s="1" customFormat="1" customHeight="1" spans="1:6">
      <c r="A6417" s="9" t="str">
        <f>"10510521425"</f>
        <v>10510521425</v>
      </c>
      <c r="B6417" s="10">
        <v>0</v>
      </c>
      <c r="C6417" s="9"/>
      <c r="D6417" s="9">
        <f t="shared" si="100"/>
        <v>0</v>
      </c>
      <c r="E6417" s="11"/>
      <c r="F6417" s="9" t="s">
        <v>7</v>
      </c>
    </row>
    <row r="6418" s="1" customFormat="1" customHeight="1" spans="1:6">
      <c r="A6418" s="9" t="str">
        <f>"10270521426"</f>
        <v>10270521426</v>
      </c>
      <c r="B6418" s="10">
        <v>36.4</v>
      </c>
      <c r="C6418" s="9"/>
      <c r="D6418" s="9">
        <f t="shared" si="100"/>
        <v>36.4</v>
      </c>
      <c r="E6418" s="11"/>
      <c r="F6418" s="9"/>
    </row>
    <row r="6419" s="1" customFormat="1" customHeight="1" spans="1:6">
      <c r="A6419" s="9" t="str">
        <f>"10440521427"</f>
        <v>10440521427</v>
      </c>
      <c r="B6419" s="10">
        <v>0</v>
      </c>
      <c r="C6419" s="9"/>
      <c r="D6419" s="9">
        <f t="shared" si="100"/>
        <v>0</v>
      </c>
      <c r="E6419" s="11"/>
      <c r="F6419" s="9" t="s">
        <v>7</v>
      </c>
    </row>
    <row r="6420" s="1" customFormat="1" customHeight="1" spans="1:6">
      <c r="A6420" s="9" t="str">
        <f>"10360521428"</f>
        <v>10360521428</v>
      </c>
      <c r="B6420" s="10">
        <v>0</v>
      </c>
      <c r="C6420" s="9"/>
      <c r="D6420" s="9">
        <f t="shared" si="100"/>
        <v>0</v>
      </c>
      <c r="E6420" s="11"/>
      <c r="F6420" s="9" t="s">
        <v>7</v>
      </c>
    </row>
    <row r="6421" s="1" customFormat="1" customHeight="1" spans="1:6">
      <c r="A6421" s="9" t="str">
        <f>"10320521429"</f>
        <v>10320521429</v>
      </c>
      <c r="B6421" s="10">
        <v>35.48</v>
      </c>
      <c r="C6421" s="9">
        <v>10</v>
      </c>
      <c r="D6421" s="9">
        <f t="shared" si="100"/>
        <v>45.48</v>
      </c>
      <c r="E6421" s="12" t="s">
        <v>8</v>
      </c>
      <c r="F6421" s="9"/>
    </row>
    <row r="6422" s="1" customFormat="1" customHeight="1" spans="1:6">
      <c r="A6422" s="9" t="str">
        <f>"10020521430"</f>
        <v>10020521430</v>
      </c>
      <c r="B6422" s="10">
        <v>46.51</v>
      </c>
      <c r="C6422" s="9"/>
      <c r="D6422" s="9">
        <f t="shared" si="100"/>
        <v>46.51</v>
      </c>
      <c r="E6422" s="11"/>
      <c r="F6422" s="9"/>
    </row>
    <row r="6423" s="1" customFormat="1" customHeight="1" spans="1:6">
      <c r="A6423" s="9" t="str">
        <f>"10140521501"</f>
        <v>10140521501</v>
      </c>
      <c r="B6423" s="10">
        <v>45.65</v>
      </c>
      <c r="C6423" s="9"/>
      <c r="D6423" s="9">
        <f t="shared" si="100"/>
        <v>45.65</v>
      </c>
      <c r="E6423" s="11"/>
      <c r="F6423" s="9"/>
    </row>
    <row r="6424" s="1" customFormat="1" customHeight="1" spans="1:6">
      <c r="A6424" s="9" t="str">
        <f>"10330521502"</f>
        <v>10330521502</v>
      </c>
      <c r="B6424" s="10">
        <v>36.44</v>
      </c>
      <c r="C6424" s="9"/>
      <c r="D6424" s="9">
        <f t="shared" si="100"/>
        <v>36.44</v>
      </c>
      <c r="E6424" s="11"/>
      <c r="F6424" s="9"/>
    </row>
    <row r="6425" s="1" customFormat="1" customHeight="1" spans="1:6">
      <c r="A6425" s="9" t="str">
        <f>"10330521503"</f>
        <v>10330521503</v>
      </c>
      <c r="B6425" s="10">
        <v>42.48</v>
      </c>
      <c r="C6425" s="9"/>
      <c r="D6425" s="9">
        <f t="shared" si="100"/>
        <v>42.48</v>
      </c>
      <c r="E6425" s="11"/>
      <c r="F6425" s="9"/>
    </row>
    <row r="6426" s="1" customFormat="1" customHeight="1" spans="1:6">
      <c r="A6426" s="9" t="str">
        <f>"10370521504"</f>
        <v>10370521504</v>
      </c>
      <c r="B6426" s="10">
        <v>0</v>
      </c>
      <c r="C6426" s="9"/>
      <c r="D6426" s="9">
        <f t="shared" si="100"/>
        <v>0</v>
      </c>
      <c r="E6426" s="11"/>
      <c r="F6426" s="9" t="s">
        <v>7</v>
      </c>
    </row>
    <row r="6427" s="1" customFormat="1" customHeight="1" spans="1:6">
      <c r="A6427" s="9" t="str">
        <f>"10070521505"</f>
        <v>10070521505</v>
      </c>
      <c r="B6427" s="10">
        <v>34.47</v>
      </c>
      <c r="C6427" s="9"/>
      <c r="D6427" s="9">
        <f t="shared" si="100"/>
        <v>34.47</v>
      </c>
      <c r="E6427" s="11"/>
      <c r="F6427" s="9"/>
    </row>
    <row r="6428" s="1" customFormat="1" customHeight="1" spans="1:6">
      <c r="A6428" s="9" t="str">
        <f>"10330521506"</f>
        <v>10330521506</v>
      </c>
      <c r="B6428" s="10">
        <v>42.09</v>
      </c>
      <c r="C6428" s="9"/>
      <c r="D6428" s="9">
        <f t="shared" si="100"/>
        <v>42.09</v>
      </c>
      <c r="E6428" s="11"/>
      <c r="F6428" s="9"/>
    </row>
    <row r="6429" s="1" customFormat="1" customHeight="1" spans="1:6">
      <c r="A6429" s="9" t="str">
        <f>"20270521507"</f>
        <v>20270521507</v>
      </c>
      <c r="B6429" s="10">
        <v>0</v>
      </c>
      <c r="C6429" s="9"/>
      <c r="D6429" s="9">
        <f t="shared" si="100"/>
        <v>0</v>
      </c>
      <c r="E6429" s="11"/>
      <c r="F6429" s="9" t="s">
        <v>7</v>
      </c>
    </row>
    <row r="6430" s="1" customFormat="1" customHeight="1" spans="1:6">
      <c r="A6430" s="9" t="str">
        <f>"10430521508"</f>
        <v>10430521508</v>
      </c>
      <c r="B6430" s="10">
        <v>0</v>
      </c>
      <c r="C6430" s="9"/>
      <c r="D6430" s="9">
        <f t="shared" si="100"/>
        <v>0</v>
      </c>
      <c r="E6430" s="11"/>
      <c r="F6430" s="9" t="s">
        <v>7</v>
      </c>
    </row>
    <row r="6431" s="1" customFormat="1" customHeight="1" spans="1:6">
      <c r="A6431" s="9" t="str">
        <f>"10290521509"</f>
        <v>10290521509</v>
      </c>
      <c r="B6431" s="10">
        <v>0</v>
      </c>
      <c r="C6431" s="9"/>
      <c r="D6431" s="9">
        <f t="shared" si="100"/>
        <v>0</v>
      </c>
      <c r="E6431" s="11"/>
      <c r="F6431" s="9" t="s">
        <v>7</v>
      </c>
    </row>
    <row r="6432" s="1" customFormat="1" customHeight="1" spans="1:6">
      <c r="A6432" s="9" t="str">
        <f>"10090521510"</f>
        <v>10090521510</v>
      </c>
      <c r="B6432" s="10">
        <v>50.81</v>
      </c>
      <c r="C6432" s="9"/>
      <c r="D6432" s="9">
        <f t="shared" si="100"/>
        <v>50.81</v>
      </c>
      <c r="E6432" s="11"/>
      <c r="F6432" s="9"/>
    </row>
    <row r="6433" s="1" customFormat="1" customHeight="1" spans="1:6">
      <c r="A6433" s="9" t="str">
        <f>"10360521511"</f>
        <v>10360521511</v>
      </c>
      <c r="B6433" s="10">
        <v>0</v>
      </c>
      <c r="C6433" s="9"/>
      <c r="D6433" s="9">
        <f t="shared" si="100"/>
        <v>0</v>
      </c>
      <c r="E6433" s="11"/>
      <c r="F6433" s="9" t="s">
        <v>7</v>
      </c>
    </row>
    <row r="6434" s="1" customFormat="1" customHeight="1" spans="1:6">
      <c r="A6434" s="9" t="str">
        <f>"10080521512"</f>
        <v>10080521512</v>
      </c>
      <c r="B6434" s="10">
        <v>40.92</v>
      </c>
      <c r="C6434" s="9"/>
      <c r="D6434" s="9">
        <f t="shared" si="100"/>
        <v>40.92</v>
      </c>
      <c r="E6434" s="11"/>
      <c r="F6434" s="9"/>
    </row>
    <row r="6435" s="1" customFormat="1" customHeight="1" spans="1:6">
      <c r="A6435" s="9" t="str">
        <f>"10360521513"</f>
        <v>10360521513</v>
      </c>
      <c r="B6435" s="10">
        <v>41.87</v>
      </c>
      <c r="C6435" s="9"/>
      <c r="D6435" s="9">
        <f t="shared" si="100"/>
        <v>41.87</v>
      </c>
      <c r="E6435" s="11"/>
      <c r="F6435" s="9"/>
    </row>
    <row r="6436" s="1" customFormat="1" customHeight="1" spans="1:6">
      <c r="A6436" s="9" t="str">
        <f>"20180521514"</f>
        <v>20180521514</v>
      </c>
      <c r="B6436" s="10">
        <v>42.2</v>
      </c>
      <c r="C6436" s="9"/>
      <c r="D6436" s="9">
        <f t="shared" si="100"/>
        <v>42.2</v>
      </c>
      <c r="E6436" s="11"/>
      <c r="F6436" s="9"/>
    </row>
    <row r="6437" s="1" customFormat="1" customHeight="1" spans="1:6">
      <c r="A6437" s="9" t="str">
        <f>"10420521515"</f>
        <v>10420521515</v>
      </c>
      <c r="B6437" s="10">
        <v>36.13</v>
      </c>
      <c r="C6437" s="9"/>
      <c r="D6437" s="9">
        <f t="shared" si="100"/>
        <v>36.13</v>
      </c>
      <c r="E6437" s="11"/>
      <c r="F6437" s="9"/>
    </row>
    <row r="6438" s="1" customFormat="1" customHeight="1" spans="1:6">
      <c r="A6438" s="9" t="str">
        <f>"10060521516"</f>
        <v>10060521516</v>
      </c>
      <c r="B6438" s="10">
        <v>0</v>
      </c>
      <c r="C6438" s="9"/>
      <c r="D6438" s="9">
        <f t="shared" si="100"/>
        <v>0</v>
      </c>
      <c r="E6438" s="11"/>
      <c r="F6438" s="9" t="s">
        <v>7</v>
      </c>
    </row>
    <row r="6439" s="1" customFormat="1" customHeight="1" spans="1:6">
      <c r="A6439" s="9" t="str">
        <f>"10080521517"</f>
        <v>10080521517</v>
      </c>
      <c r="B6439" s="10">
        <v>45.65</v>
      </c>
      <c r="C6439" s="9"/>
      <c r="D6439" s="9">
        <f t="shared" si="100"/>
        <v>45.65</v>
      </c>
      <c r="E6439" s="11"/>
      <c r="F6439" s="9"/>
    </row>
    <row r="6440" s="1" customFormat="1" customHeight="1" spans="1:6">
      <c r="A6440" s="9" t="str">
        <f>"10300521518"</f>
        <v>10300521518</v>
      </c>
      <c r="B6440" s="10">
        <v>0</v>
      </c>
      <c r="C6440" s="9"/>
      <c r="D6440" s="9">
        <f t="shared" si="100"/>
        <v>0</v>
      </c>
      <c r="E6440" s="11"/>
      <c r="F6440" s="9" t="s">
        <v>7</v>
      </c>
    </row>
    <row r="6441" s="1" customFormat="1" customHeight="1" spans="1:6">
      <c r="A6441" s="9" t="str">
        <f>"10080521519"</f>
        <v>10080521519</v>
      </c>
      <c r="B6441" s="10">
        <v>39.24</v>
      </c>
      <c r="C6441" s="9"/>
      <c r="D6441" s="9">
        <f t="shared" si="100"/>
        <v>39.24</v>
      </c>
      <c r="E6441" s="11"/>
      <c r="F6441" s="9"/>
    </row>
    <row r="6442" s="1" customFormat="1" customHeight="1" spans="1:6">
      <c r="A6442" s="9" t="str">
        <f>"10500521520"</f>
        <v>10500521520</v>
      </c>
      <c r="B6442" s="10">
        <v>42.53</v>
      </c>
      <c r="C6442" s="9"/>
      <c r="D6442" s="9">
        <f t="shared" si="100"/>
        <v>42.53</v>
      </c>
      <c r="E6442" s="11"/>
      <c r="F6442" s="9"/>
    </row>
    <row r="6443" s="1" customFormat="1" customHeight="1" spans="1:6">
      <c r="A6443" s="9" t="str">
        <f>"10330521521"</f>
        <v>10330521521</v>
      </c>
      <c r="B6443" s="10">
        <v>0</v>
      </c>
      <c r="C6443" s="9"/>
      <c r="D6443" s="9">
        <f t="shared" si="100"/>
        <v>0</v>
      </c>
      <c r="E6443" s="11"/>
      <c r="F6443" s="9" t="s">
        <v>7</v>
      </c>
    </row>
    <row r="6444" s="1" customFormat="1" customHeight="1" spans="1:6">
      <c r="A6444" s="9" t="str">
        <f>"10440521522"</f>
        <v>10440521522</v>
      </c>
      <c r="B6444" s="10">
        <v>0</v>
      </c>
      <c r="C6444" s="9"/>
      <c r="D6444" s="9">
        <f t="shared" si="100"/>
        <v>0</v>
      </c>
      <c r="E6444" s="11"/>
      <c r="F6444" s="9" t="s">
        <v>7</v>
      </c>
    </row>
    <row r="6445" s="1" customFormat="1" customHeight="1" spans="1:6">
      <c r="A6445" s="9" t="str">
        <f>"10410521523"</f>
        <v>10410521523</v>
      </c>
      <c r="B6445" s="10">
        <v>0</v>
      </c>
      <c r="C6445" s="9"/>
      <c r="D6445" s="9">
        <f t="shared" si="100"/>
        <v>0</v>
      </c>
      <c r="E6445" s="11"/>
      <c r="F6445" s="9" t="s">
        <v>7</v>
      </c>
    </row>
    <row r="6446" s="1" customFormat="1" customHeight="1" spans="1:6">
      <c r="A6446" s="9" t="str">
        <f>"20180521524"</f>
        <v>20180521524</v>
      </c>
      <c r="B6446" s="10">
        <v>0</v>
      </c>
      <c r="C6446" s="9"/>
      <c r="D6446" s="9">
        <f t="shared" si="100"/>
        <v>0</v>
      </c>
      <c r="E6446" s="11"/>
      <c r="F6446" s="9" t="s">
        <v>7</v>
      </c>
    </row>
    <row r="6447" s="1" customFormat="1" customHeight="1" spans="1:6">
      <c r="A6447" s="9" t="str">
        <f>"10380521525"</f>
        <v>10380521525</v>
      </c>
      <c r="B6447" s="10">
        <v>42.85</v>
      </c>
      <c r="C6447" s="9"/>
      <c r="D6447" s="9">
        <f t="shared" si="100"/>
        <v>42.85</v>
      </c>
      <c r="E6447" s="11"/>
      <c r="F6447" s="9"/>
    </row>
    <row r="6448" s="1" customFormat="1" customHeight="1" spans="1:6">
      <c r="A6448" s="9" t="str">
        <f>"10360521526"</f>
        <v>10360521526</v>
      </c>
      <c r="B6448" s="10">
        <v>60.02</v>
      </c>
      <c r="C6448" s="9"/>
      <c r="D6448" s="9">
        <f t="shared" si="100"/>
        <v>60.02</v>
      </c>
      <c r="E6448" s="11"/>
      <c r="F6448" s="9"/>
    </row>
    <row r="6449" s="1" customFormat="1" customHeight="1" spans="1:6">
      <c r="A6449" s="9" t="str">
        <f>"10530521527"</f>
        <v>10530521527</v>
      </c>
      <c r="B6449" s="10">
        <v>41.66</v>
      </c>
      <c r="C6449" s="9"/>
      <c r="D6449" s="9">
        <f t="shared" si="100"/>
        <v>41.66</v>
      </c>
      <c r="E6449" s="11"/>
      <c r="F6449" s="9"/>
    </row>
    <row r="6450" s="1" customFormat="1" customHeight="1" spans="1:6">
      <c r="A6450" s="9" t="str">
        <f>"10210521528"</f>
        <v>10210521528</v>
      </c>
      <c r="B6450" s="10">
        <v>0</v>
      </c>
      <c r="C6450" s="9"/>
      <c r="D6450" s="9">
        <f t="shared" si="100"/>
        <v>0</v>
      </c>
      <c r="E6450" s="11"/>
      <c r="F6450" s="9" t="s">
        <v>7</v>
      </c>
    </row>
    <row r="6451" s="1" customFormat="1" customHeight="1" spans="1:6">
      <c r="A6451" s="9" t="str">
        <f>"10440521529"</f>
        <v>10440521529</v>
      </c>
      <c r="B6451" s="10">
        <v>35.46</v>
      </c>
      <c r="C6451" s="9"/>
      <c r="D6451" s="9">
        <f t="shared" si="100"/>
        <v>35.46</v>
      </c>
      <c r="E6451" s="11"/>
      <c r="F6451" s="9"/>
    </row>
    <row r="6452" s="1" customFormat="1" customHeight="1" spans="1:6">
      <c r="A6452" s="9" t="str">
        <f>"10210521530"</f>
        <v>10210521530</v>
      </c>
      <c r="B6452" s="10">
        <v>39.51</v>
      </c>
      <c r="C6452" s="9"/>
      <c r="D6452" s="9">
        <f t="shared" si="100"/>
        <v>39.51</v>
      </c>
      <c r="E6452" s="11"/>
      <c r="F6452" s="9"/>
    </row>
    <row r="6453" s="1" customFormat="1" customHeight="1" spans="1:6">
      <c r="A6453" s="9" t="str">
        <f>"10530521601"</f>
        <v>10530521601</v>
      </c>
      <c r="B6453" s="10">
        <v>0</v>
      </c>
      <c r="C6453" s="9"/>
      <c r="D6453" s="9">
        <f t="shared" si="100"/>
        <v>0</v>
      </c>
      <c r="E6453" s="11"/>
      <c r="F6453" s="9" t="s">
        <v>7</v>
      </c>
    </row>
    <row r="6454" s="1" customFormat="1" customHeight="1" spans="1:6">
      <c r="A6454" s="9" t="str">
        <f>"10090521602"</f>
        <v>10090521602</v>
      </c>
      <c r="B6454" s="10">
        <v>32.6</v>
      </c>
      <c r="C6454" s="9"/>
      <c r="D6454" s="9">
        <f t="shared" si="100"/>
        <v>32.6</v>
      </c>
      <c r="E6454" s="11"/>
      <c r="F6454" s="9"/>
    </row>
    <row r="6455" s="1" customFormat="1" customHeight="1" spans="1:6">
      <c r="A6455" s="9" t="str">
        <f>"10360521603"</f>
        <v>10360521603</v>
      </c>
      <c r="B6455" s="10">
        <v>32.68</v>
      </c>
      <c r="C6455" s="9"/>
      <c r="D6455" s="9">
        <f t="shared" si="100"/>
        <v>32.68</v>
      </c>
      <c r="E6455" s="11"/>
      <c r="F6455" s="9"/>
    </row>
    <row r="6456" s="1" customFormat="1" customHeight="1" spans="1:6">
      <c r="A6456" s="9" t="str">
        <f>"10530521604"</f>
        <v>10530521604</v>
      </c>
      <c r="B6456" s="10">
        <v>35.45</v>
      </c>
      <c r="C6456" s="9">
        <v>10</v>
      </c>
      <c r="D6456" s="9">
        <f t="shared" si="100"/>
        <v>45.45</v>
      </c>
      <c r="E6456" s="12" t="s">
        <v>8</v>
      </c>
      <c r="F6456" s="9"/>
    </row>
    <row r="6457" s="1" customFormat="1" customHeight="1" spans="1:6">
      <c r="A6457" s="9" t="str">
        <f>"10360521605"</f>
        <v>10360521605</v>
      </c>
      <c r="B6457" s="10">
        <v>21.3</v>
      </c>
      <c r="C6457" s="9"/>
      <c r="D6457" s="9">
        <f t="shared" si="100"/>
        <v>21.3</v>
      </c>
      <c r="E6457" s="11"/>
      <c r="F6457" s="9"/>
    </row>
    <row r="6458" s="1" customFormat="1" customHeight="1" spans="1:6">
      <c r="A6458" s="9" t="str">
        <f>"10060521606"</f>
        <v>10060521606</v>
      </c>
      <c r="B6458" s="10">
        <v>0</v>
      </c>
      <c r="C6458" s="9"/>
      <c r="D6458" s="9">
        <f t="shared" si="100"/>
        <v>0</v>
      </c>
      <c r="E6458" s="11"/>
      <c r="F6458" s="9" t="s">
        <v>7</v>
      </c>
    </row>
    <row r="6459" s="1" customFormat="1" customHeight="1" spans="1:6">
      <c r="A6459" s="9" t="str">
        <f>"10180521607"</f>
        <v>10180521607</v>
      </c>
      <c r="B6459" s="10">
        <v>35.98</v>
      </c>
      <c r="C6459" s="9"/>
      <c r="D6459" s="9">
        <f t="shared" si="100"/>
        <v>35.98</v>
      </c>
      <c r="E6459" s="11"/>
      <c r="F6459" s="9"/>
    </row>
    <row r="6460" s="1" customFormat="1" customHeight="1" spans="1:6">
      <c r="A6460" s="9" t="str">
        <f>"10410521608"</f>
        <v>10410521608</v>
      </c>
      <c r="B6460" s="10">
        <v>40.27</v>
      </c>
      <c r="C6460" s="9"/>
      <c r="D6460" s="9">
        <f t="shared" si="100"/>
        <v>40.27</v>
      </c>
      <c r="E6460" s="11"/>
      <c r="F6460" s="9"/>
    </row>
    <row r="6461" s="1" customFormat="1" customHeight="1" spans="1:6">
      <c r="A6461" s="9" t="str">
        <f>"10200521609"</f>
        <v>10200521609</v>
      </c>
      <c r="B6461" s="10">
        <v>48.91</v>
      </c>
      <c r="C6461" s="9"/>
      <c r="D6461" s="9">
        <f t="shared" si="100"/>
        <v>48.91</v>
      </c>
      <c r="E6461" s="11"/>
      <c r="F6461" s="9"/>
    </row>
    <row r="6462" s="1" customFormat="1" customHeight="1" spans="1:6">
      <c r="A6462" s="9" t="str">
        <f>"10180521610"</f>
        <v>10180521610</v>
      </c>
      <c r="B6462" s="10">
        <v>40.16</v>
      </c>
      <c r="C6462" s="9"/>
      <c r="D6462" s="9">
        <f t="shared" si="100"/>
        <v>40.16</v>
      </c>
      <c r="E6462" s="11"/>
      <c r="F6462" s="9"/>
    </row>
    <row r="6463" s="1" customFormat="1" customHeight="1" spans="1:6">
      <c r="A6463" s="9" t="str">
        <f>"10380521611"</f>
        <v>10380521611</v>
      </c>
      <c r="B6463" s="10">
        <v>38.56</v>
      </c>
      <c r="C6463" s="9"/>
      <c r="D6463" s="9">
        <f t="shared" si="100"/>
        <v>38.56</v>
      </c>
      <c r="E6463" s="11"/>
      <c r="F6463" s="9"/>
    </row>
    <row r="6464" s="1" customFormat="1" customHeight="1" spans="1:6">
      <c r="A6464" s="9" t="str">
        <f>"10300521612"</f>
        <v>10300521612</v>
      </c>
      <c r="B6464" s="10">
        <v>40.05</v>
      </c>
      <c r="C6464" s="9"/>
      <c r="D6464" s="9">
        <f t="shared" si="100"/>
        <v>40.05</v>
      </c>
      <c r="E6464" s="11"/>
      <c r="F6464" s="9"/>
    </row>
    <row r="6465" s="1" customFormat="1" customHeight="1" spans="1:6">
      <c r="A6465" s="9" t="str">
        <f>"10200521613"</f>
        <v>10200521613</v>
      </c>
      <c r="B6465" s="10">
        <v>0</v>
      </c>
      <c r="C6465" s="9"/>
      <c r="D6465" s="9">
        <f t="shared" si="100"/>
        <v>0</v>
      </c>
      <c r="E6465" s="11"/>
      <c r="F6465" s="9" t="s">
        <v>7</v>
      </c>
    </row>
    <row r="6466" s="1" customFormat="1" customHeight="1" spans="1:6">
      <c r="A6466" s="9" t="str">
        <f>"10330521614"</f>
        <v>10330521614</v>
      </c>
      <c r="B6466" s="10">
        <v>38.5</v>
      </c>
      <c r="C6466" s="9"/>
      <c r="D6466" s="9">
        <f t="shared" si="100"/>
        <v>38.5</v>
      </c>
      <c r="E6466" s="11"/>
      <c r="F6466" s="9"/>
    </row>
    <row r="6467" s="1" customFormat="1" customHeight="1" spans="1:6">
      <c r="A6467" s="9" t="str">
        <f>"10240521615"</f>
        <v>10240521615</v>
      </c>
      <c r="B6467" s="10">
        <v>41.9</v>
      </c>
      <c r="C6467" s="9"/>
      <c r="D6467" s="9">
        <f t="shared" ref="D6467:D6530" si="101">SUM(B6467:C6467)</f>
        <v>41.9</v>
      </c>
      <c r="E6467" s="11"/>
      <c r="F6467" s="9"/>
    </row>
    <row r="6468" s="1" customFormat="1" customHeight="1" spans="1:6">
      <c r="A6468" s="9" t="str">
        <f>"10230521616"</f>
        <v>10230521616</v>
      </c>
      <c r="B6468" s="10">
        <v>0</v>
      </c>
      <c r="C6468" s="9"/>
      <c r="D6468" s="9">
        <f t="shared" si="101"/>
        <v>0</v>
      </c>
      <c r="E6468" s="11"/>
      <c r="F6468" s="9" t="s">
        <v>7</v>
      </c>
    </row>
    <row r="6469" s="1" customFormat="1" customHeight="1" spans="1:6">
      <c r="A6469" s="9" t="str">
        <f>"10370521617"</f>
        <v>10370521617</v>
      </c>
      <c r="B6469" s="10">
        <v>38.14</v>
      </c>
      <c r="C6469" s="9"/>
      <c r="D6469" s="9">
        <f t="shared" si="101"/>
        <v>38.14</v>
      </c>
      <c r="E6469" s="11"/>
      <c r="F6469" s="9"/>
    </row>
    <row r="6470" s="1" customFormat="1" customHeight="1" spans="1:6">
      <c r="A6470" s="9" t="str">
        <f>"10420521618"</f>
        <v>10420521618</v>
      </c>
      <c r="B6470" s="10">
        <v>48.64</v>
      </c>
      <c r="C6470" s="9"/>
      <c r="D6470" s="9">
        <f t="shared" si="101"/>
        <v>48.64</v>
      </c>
      <c r="E6470" s="11"/>
      <c r="F6470" s="9"/>
    </row>
    <row r="6471" s="1" customFormat="1" customHeight="1" spans="1:6">
      <c r="A6471" s="9" t="str">
        <f>"10100521619"</f>
        <v>10100521619</v>
      </c>
      <c r="B6471" s="10">
        <v>0</v>
      </c>
      <c r="C6471" s="9"/>
      <c r="D6471" s="9">
        <f t="shared" si="101"/>
        <v>0</v>
      </c>
      <c r="E6471" s="11"/>
      <c r="F6471" s="9" t="s">
        <v>7</v>
      </c>
    </row>
    <row r="6472" s="1" customFormat="1" customHeight="1" spans="1:6">
      <c r="A6472" s="9" t="str">
        <f>"10080521620"</f>
        <v>10080521620</v>
      </c>
      <c r="B6472" s="10">
        <v>46.87</v>
      </c>
      <c r="C6472" s="9"/>
      <c r="D6472" s="9">
        <f t="shared" si="101"/>
        <v>46.87</v>
      </c>
      <c r="E6472" s="11"/>
      <c r="F6472" s="9"/>
    </row>
    <row r="6473" s="1" customFormat="1" customHeight="1" spans="1:6">
      <c r="A6473" s="9" t="str">
        <f>"10330521621"</f>
        <v>10330521621</v>
      </c>
      <c r="B6473" s="10">
        <v>43.84</v>
      </c>
      <c r="C6473" s="9"/>
      <c r="D6473" s="9">
        <f t="shared" si="101"/>
        <v>43.84</v>
      </c>
      <c r="E6473" s="11"/>
      <c r="F6473" s="9"/>
    </row>
    <row r="6474" s="1" customFormat="1" customHeight="1" spans="1:6">
      <c r="A6474" s="9" t="str">
        <f>"10020521622"</f>
        <v>10020521622</v>
      </c>
      <c r="B6474" s="10">
        <v>42.48</v>
      </c>
      <c r="C6474" s="9"/>
      <c r="D6474" s="9">
        <f t="shared" si="101"/>
        <v>42.48</v>
      </c>
      <c r="E6474" s="11"/>
      <c r="F6474" s="9"/>
    </row>
    <row r="6475" s="1" customFormat="1" customHeight="1" spans="1:6">
      <c r="A6475" s="9" t="str">
        <f>"10210521623"</f>
        <v>10210521623</v>
      </c>
      <c r="B6475" s="10">
        <v>40.42</v>
      </c>
      <c r="C6475" s="9"/>
      <c r="D6475" s="9">
        <f t="shared" si="101"/>
        <v>40.42</v>
      </c>
      <c r="E6475" s="11"/>
      <c r="F6475" s="9"/>
    </row>
    <row r="6476" s="1" customFormat="1" customHeight="1" spans="1:6">
      <c r="A6476" s="9" t="str">
        <f>"10270521624"</f>
        <v>10270521624</v>
      </c>
      <c r="B6476" s="10">
        <v>50.2</v>
      </c>
      <c r="C6476" s="9"/>
      <c r="D6476" s="9">
        <f t="shared" si="101"/>
        <v>50.2</v>
      </c>
      <c r="E6476" s="11"/>
      <c r="F6476" s="9"/>
    </row>
    <row r="6477" s="1" customFormat="1" customHeight="1" spans="1:6">
      <c r="A6477" s="9" t="str">
        <f>"10440521625"</f>
        <v>10440521625</v>
      </c>
      <c r="B6477" s="10">
        <v>0</v>
      </c>
      <c r="C6477" s="9"/>
      <c r="D6477" s="9">
        <f t="shared" si="101"/>
        <v>0</v>
      </c>
      <c r="E6477" s="11"/>
      <c r="F6477" s="9" t="s">
        <v>7</v>
      </c>
    </row>
    <row r="6478" s="1" customFormat="1" customHeight="1" spans="1:6">
      <c r="A6478" s="9" t="str">
        <f>"10060521626"</f>
        <v>10060521626</v>
      </c>
      <c r="B6478" s="10">
        <v>40.75</v>
      </c>
      <c r="C6478" s="9"/>
      <c r="D6478" s="9">
        <f t="shared" si="101"/>
        <v>40.75</v>
      </c>
      <c r="E6478" s="11"/>
      <c r="F6478" s="9"/>
    </row>
    <row r="6479" s="1" customFormat="1" customHeight="1" spans="1:6">
      <c r="A6479" s="9" t="str">
        <f>"10270521627"</f>
        <v>10270521627</v>
      </c>
      <c r="B6479" s="10">
        <v>0</v>
      </c>
      <c r="C6479" s="9"/>
      <c r="D6479" s="9">
        <f t="shared" si="101"/>
        <v>0</v>
      </c>
      <c r="E6479" s="11"/>
      <c r="F6479" s="9" t="s">
        <v>7</v>
      </c>
    </row>
    <row r="6480" s="1" customFormat="1" customHeight="1" spans="1:6">
      <c r="A6480" s="9" t="str">
        <f>"10530521628"</f>
        <v>10530521628</v>
      </c>
      <c r="B6480" s="10">
        <v>38.44</v>
      </c>
      <c r="C6480" s="9"/>
      <c r="D6480" s="9">
        <f t="shared" si="101"/>
        <v>38.44</v>
      </c>
      <c r="E6480" s="11"/>
      <c r="F6480" s="9"/>
    </row>
    <row r="6481" s="1" customFormat="1" customHeight="1" spans="1:6">
      <c r="A6481" s="9" t="str">
        <f>"10120521629"</f>
        <v>10120521629</v>
      </c>
      <c r="B6481" s="10">
        <v>41.86</v>
      </c>
      <c r="C6481" s="9"/>
      <c r="D6481" s="9">
        <f t="shared" si="101"/>
        <v>41.86</v>
      </c>
      <c r="E6481" s="11"/>
      <c r="F6481" s="9"/>
    </row>
    <row r="6482" s="1" customFormat="1" customHeight="1" spans="1:6">
      <c r="A6482" s="9" t="str">
        <f>"10360521630"</f>
        <v>10360521630</v>
      </c>
      <c r="B6482" s="10">
        <v>32.93</v>
      </c>
      <c r="C6482" s="9"/>
      <c r="D6482" s="9">
        <f t="shared" si="101"/>
        <v>32.93</v>
      </c>
      <c r="E6482" s="11"/>
      <c r="F6482" s="9"/>
    </row>
    <row r="6483" s="1" customFormat="1" customHeight="1" spans="1:6">
      <c r="A6483" s="9" t="str">
        <f>"10520521701"</f>
        <v>10520521701</v>
      </c>
      <c r="B6483" s="10">
        <v>41.46</v>
      </c>
      <c r="C6483" s="9"/>
      <c r="D6483" s="9">
        <f t="shared" si="101"/>
        <v>41.46</v>
      </c>
      <c r="E6483" s="11"/>
      <c r="F6483" s="9"/>
    </row>
    <row r="6484" s="1" customFormat="1" customHeight="1" spans="1:6">
      <c r="A6484" s="9" t="str">
        <f>"10370521702"</f>
        <v>10370521702</v>
      </c>
      <c r="B6484" s="10">
        <v>45.9</v>
      </c>
      <c r="C6484" s="9"/>
      <c r="D6484" s="9">
        <f t="shared" si="101"/>
        <v>45.9</v>
      </c>
      <c r="E6484" s="11"/>
      <c r="F6484" s="9"/>
    </row>
    <row r="6485" s="1" customFormat="1" customHeight="1" spans="1:6">
      <c r="A6485" s="9" t="str">
        <f>"10500521703"</f>
        <v>10500521703</v>
      </c>
      <c r="B6485" s="10">
        <v>40.48</v>
      </c>
      <c r="C6485" s="9"/>
      <c r="D6485" s="9">
        <f t="shared" si="101"/>
        <v>40.48</v>
      </c>
      <c r="E6485" s="11"/>
      <c r="F6485" s="9"/>
    </row>
    <row r="6486" s="1" customFormat="1" customHeight="1" spans="1:6">
      <c r="A6486" s="9" t="str">
        <f>"10360521704"</f>
        <v>10360521704</v>
      </c>
      <c r="B6486" s="10">
        <v>34.03</v>
      </c>
      <c r="C6486" s="9"/>
      <c r="D6486" s="9">
        <f t="shared" si="101"/>
        <v>34.03</v>
      </c>
      <c r="E6486" s="11"/>
      <c r="F6486" s="9"/>
    </row>
    <row r="6487" s="1" customFormat="1" customHeight="1" spans="1:6">
      <c r="A6487" s="9" t="str">
        <f>"10360521705"</f>
        <v>10360521705</v>
      </c>
      <c r="B6487" s="10">
        <v>0</v>
      </c>
      <c r="C6487" s="9"/>
      <c r="D6487" s="9">
        <f t="shared" si="101"/>
        <v>0</v>
      </c>
      <c r="E6487" s="11"/>
      <c r="F6487" s="9" t="s">
        <v>7</v>
      </c>
    </row>
    <row r="6488" s="1" customFormat="1" customHeight="1" spans="1:6">
      <c r="A6488" s="9" t="str">
        <f>"10110521706"</f>
        <v>10110521706</v>
      </c>
      <c r="B6488" s="10">
        <v>0</v>
      </c>
      <c r="C6488" s="9"/>
      <c r="D6488" s="9">
        <f t="shared" si="101"/>
        <v>0</v>
      </c>
      <c r="E6488" s="11"/>
      <c r="F6488" s="9" t="s">
        <v>7</v>
      </c>
    </row>
    <row r="6489" s="1" customFormat="1" customHeight="1" spans="1:6">
      <c r="A6489" s="9" t="str">
        <f>"10130521707"</f>
        <v>10130521707</v>
      </c>
      <c r="B6489" s="10">
        <v>41.59</v>
      </c>
      <c r="C6489" s="9"/>
      <c r="D6489" s="9">
        <f t="shared" si="101"/>
        <v>41.59</v>
      </c>
      <c r="E6489" s="11"/>
      <c r="F6489" s="9"/>
    </row>
    <row r="6490" s="1" customFormat="1" customHeight="1" spans="1:6">
      <c r="A6490" s="9" t="str">
        <f>"10360521708"</f>
        <v>10360521708</v>
      </c>
      <c r="B6490" s="10">
        <v>45.35</v>
      </c>
      <c r="C6490" s="9"/>
      <c r="D6490" s="9">
        <f t="shared" si="101"/>
        <v>45.35</v>
      </c>
      <c r="E6490" s="11"/>
      <c r="F6490" s="9"/>
    </row>
    <row r="6491" s="1" customFormat="1" customHeight="1" spans="1:6">
      <c r="A6491" s="9" t="str">
        <f>"10110521709"</f>
        <v>10110521709</v>
      </c>
      <c r="B6491" s="10">
        <v>39.23</v>
      </c>
      <c r="C6491" s="9"/>
      <c r="D6491" s="9">
        <f t="shared" si="101"/>
        <v>39.23</v>
      </c>
      <c r="E6491" s="11"/>
      <c r="F6491" s="9"/>
    </row>
    <row r="6492" s="1" customFormat="1" customHeight="1" spans="1:6">
      <c r="A6492" s="9" t="str">
        <f>"10360521710"</f>
        <v>10360521710</v>
      </c>
      <c r="B6492" s="10">
        <v>0</v>
      </c>
      <c r="C6492" s="9"/>
      <c r="D6492" s="9">
        <f t="shared" si="101"/>
        <v>0</v>
      </c>
      <c r="E6492" s="11"/>
      <c r="F6492" s="9" t="s">
        <v>7</v>
      </c>
    </row>
    <row r="6493" s="1" customFormat="1" customHeight="1" spans="1:6">
      <c r="A6493" s="9" t="str">
        <f>"10500521711"</f>
        <v>10500521711</v>
      </c>
      <c r="B6493" s="10">
        <v>43.77</v>
      </c>
      <c r="C6493" s="9"/>
      <c r="D6493" s="9">
        <f t="shared" si="101"/>
        <v>43.77</v>
      </c>
      <c r="E6493" s="11"/>
      <c r="F6493" s="9"/>
    </row>
    <row r="6494" s="1" customFormat="1" customHeight="1" spans="1:6">
      <c r="A6494" s="9" t="str">
        <f>"10110521712"</f>
        <v>10110521712</v>
      </c>
      <c r="B6494" s="10">
        <v>42.62</v>
      </c>
      <c r="C6494" s="9"/>
      <c r="D6494" s="9">
        <f t="shared" si="101"/>
        <v>42.62</v>
      </c>
      <c r="E6494" s="11"/>
      <c r="F6494" s="9"/>
    </row>
    <row r="6495" s="1" customFormat="1" customHeight="1" spans="1:6">
      <c r="A6495" s="9" t="str">
        <f>"10280521713"</f>
        <v>10280521713</v>
      </c>
      <c r="B6495" s="10">
        <v>41.21</v>
      </c>
      <c r="C6495" s="9"/>
      <c r="D6495" s="9">
        <f t="shared" si="101"/>
        <v>41.21</v>
      </c>
      <c r="E6495" s="11"/>
      <c r="F6495" s="9"/>
    </row>
    <row r="6496" s="1" customFormat="1" customHeight="1" spans="1:6">
      <c r="A6496" s="9" t="str">
        <f>"10510521714"</f>
        <v>10510521714</v>
      </c>
      <c r="B6496" s="10">
        <v>39.5</v>
      </c>
      <c r="C6496" s="9"/>
      <c r="D6496" s="9">
        <f t="shared" si="101"/>
        <v>39.5</v>
      </c>
      <c r="E6496" s="11"/>
      <c r="F6496" s="9"/>
    </row>
    <row r="6497" s="1" customFormat="1" customHeight="1" spans="1:6">
      <c r="A6497" s="9" t="str">
        <f>"10300521715"</f>
        <v>10300521715</v>
      </c>
      <c r="B6497" s="10">
        <v>42.24</v>
      </c>
      <c r="C6497" s="9"/>
      <c r="D6497" s="9">
        <f t="shared" si="101"/>
        <v>42.24</v>
      </c>
      <c r="E6497" s="11"/>
      <c r="F6497" s="9"/>
    </row>
    <row r="6498" s="1" customFormat="1" customHeight="1" spans="1:6">
      <c r="A6498" s="9" t="str">
        <f>"10360521716"</f>
        <v>10360521716</v>
      </c>
      <c r="B6498" s="10">
        <v>34.31</v>
      </c>
      <c r="C6498" s="9">
        <v>10</v>
      </c>
      <c r="D6498" s="9">
        <f t="shared" si="101"/>
        <v>44.31</v>
      </c>
      <c r="E6498" s="12" t="s">
        <v>8</v>
      </c>
      <c r="F6498" s="9"/>
    </row>
    <row r="6499" s="1" customFormat="1" customHeight="1" spans="1:6">
      <c r="A6499" s="9" t="str">
        <f>"10300521717"</f>
        <v>10300521717</v>
      </c>
      <c r="B6499" s="10">
        <v>40.35</v>
      </c>
      <c r="C6499" s="9"/>
      <c r="D6499" s="9">
        <f t="shared" si="101"/>
        <v>40.35</v>
      </c>
      <c r="E6499" s="11"/>
      <c r="F6499" s="9"/>
    </row>
    <row r="6500" s="1" customFormat="1" customHeight="1" spans="1:6">
      <c r="A6500" s="9" t="str">
        <f>"10370521718"</f>
        <v>10370521718</v>
      </c>
      <c r="B6500" s="10">
        <v>43.06</v>
      </c>
      <c r="C6500" s="9"/>
      <c r="D6500" s="9">
        <f t="shared" si="101"/>
        <v>43.06</v>
      </c>
      <c r="E6500" s="11"/>
      <c r="F6500" s="9"/>
    </row>
    <row r="6501" s="1" customFormat="1" customHeight="1" spans="1:6">
      <c r="A6501" s="9" t="str">
        <f>"10090521719"</f>
        <v>10090521719</v>
      </c>
      <c r="B6501" s="10">
        <v>38.5</v>
      </c>
      <c r="C6501" s="9"/>
      <c r="D6501" s="9">
        <f t="shared" si="101"/>
        <v>38.5</v>
      </c>
      <c r="E6501" s="11"/>
      <c r="F6501" s="9"/>
    </row>
    <row r="6502" s="1" customFormat="1" customHeight="1" spans="1:6">
      <c r="A6502" s="9" t="str">
        <f>"10530521720"</f>
        <v>10530521720</v>
      </c>
      <c r="B6502" s="10">
        <v>51.78</v>
      </c>
      <c r="C6502" s="9"/>
      <c r="D6502" s="9">
        <f t="shared" si="101"/>
        <v>51.78</v>
      </c>
      <c r="E6502" s="11"/>
      <c r="F6502" s="9"/>
    </row>
    <row r="6503" s="1" customFormat="1" customHeight="1" spans="1:6">
      <c r="A6503" s="9" t="str">
        <f>"10360521721"</f>
        <v>10360521721</v>
      </c>
      <c r="B6503" s="10">
        <v>29.63</v>
      </c>
      <c r="C6503" s="9"/>
      <c r="D6503" s="9">
        <f t="shared" si="101"/>
        <v>29.63</v>
      </c>
      <c r="E6503" s="11"/>
      <c r="F6503" s="9"/>
    </row>
    <row r="6504" s="1" customFormat="1" customHeight="1" spans="1:6">
      <c r="A6504" s="9" t="str">
        <f>"10330521722"</f>
        <v>10330521722</v>
      </c>
      <c r="B6504" s="10">
        <v>32.16</v>
      </c>
      <c r="C6504" s="9"/>
      <c r="D6504" s="9">
        <f t="shared" si="101"/>
        <v>32.16</v>
      </c>
      <c r="E6504" s="11"/>
      <c r="F6504" s="9"/>
    </row>
    <row r="6505" s="1" customFormat="1" customHeight="1" spans="1:6">
      <c r="A6505" s="9" t="str">
        <f>"10360521723"</f>
        <v>10360521723</v>
      </c>
      <c r="B6505" s="10">
        <v>41.84</v>
      </c>
      <c r="C6505" s="9"/>
      <c r="D6505" s="9">
        <f t="shared" si="101"/>
        <v>41.84</v>
      </c>
      <c r="E6505" s="11"/>
      <c r="F6505" s="9"/>
    </row>
    <row r="6506" s="1" customFormat="1" customHeight="1" spans="1:6">
      <c r="A6506" s="9" t="str">
        <f>"10300521724"</f>
        <v>10300521724</v>
      </c>
      <c r="B6506" s="10">
        <v>39.48</v>
      </c>
      <c r="C6506" s="9"/>
      <c r="D6506" s="9">
        <f t="shared" si="101"/>
        <v>39.48</v>
      </c>
      <c r="E6506" s="11"/>
      <c r="F6506" s="9"/>
    </row>
    <row r="6507" s="1" customFormat="1" customHeight="1" spans="1:6">
      <c r="A6507" s="9" t="str">
        <f>"10360521725"</f>
        <v>10360521725</v>
      </c>
      <c r="B6507" s="10">
        <v>44.28</v>
      </c>
      <c r="C6507" s="9"/>
      <c r="D6507" s="9">
        <f t="shared" si="101"/>
        <v>44.28</v>
      </c>
      <c r="E6507" s="11"/>
      <c r="F6507" s="9"/>
    </row>
    <row r="6508" s="1" customFormat="1" customHeight="1" spans="1:6">
      <c r="A6508" s="9" t="str">
        <f>"10330521726"</f>
        <v>10330521726</v>
      </c>
      <c r="B6508" s="10">
        <v>53.48</v>
      </c>
      <c r="C6508" s="9"/>
      <c r="D6508" s="9">
        <f t="shared" si="101"/>
        <v>53.48</v>
      </c>
      <c r="E6508" s="11"/>
      <c r="F6508" s="9"/>
    </row>
    <row r="6509" s="1" customFormat="1" customHeight="1" spans="1:6">
      <c r="A6509" s="9" t="str">
        <f>"10360521727"</f>
        <v>10360521727</v>
      </c>
      <c r="B6509" s="10">
        <v>40.91</v>
      </c>
      <c r="C6509" s="9"/>
      <c r="D6509" s="9">
        <f t="shared" si="101"/>
        <v>40.91</v>
      </c>
      <c r="E6509" s="11"/>
      <c r="F6509" s="9"/>
    </row>
    <row r="6510" s="1" customFormat="1" customHeight="1" spans="1:6">
      <c r="A6510" s="9" t="str">
        <f>"10450521728"</f>
        <v>10450521728</v>
      </c>
      <c r="B6510" s="10">
        <v>34.25</v>
      </c>
      <c r="C6510" s="9"/>
      <c r="D6510" s="9">
        <f t="shared" si="101"/>
        <v>34.25</v>
      </c>
      <c r="E6510" s="11"/>
      <c r="F6510" s="9"/>
    </row>
    <row r="6511" s="1" customFormat="1" customHeight="1" spans="1:6">
      <c r="A6511" s="9" t="str">
        <f>"10360521729"</f>
        <v>10360521729</v>
      </c>
      <c r="B6511" s="10">
        <v>0</v>
      </c>
      <c r="C6511" s="9"/>
      <c r="D6511" s="9">
        <f t="shared" si="101"/>
        <v>0</v>
      </c>
      <c r="E6511" s="11"/>
      <c r="F6511" s="9" t="s">
        <v>7</v>
      </c>
    </row>
    <row r="6512" s="1" customFormat="1" customHeight="1" spans="1:6">
      <c r="A6512" s="9" t="str">
        <f>"10170521730"</f>
        <v>10170521730</v>
      </c>
      <c r="B6512" s="10">
        <v>0</v>
      </c>
      <c r="C6512" s="9"/>
      <c r="D6512" s="9">
        <f t="shared" si="101"/>
        <v>0</v>
      </c>
      <c r="E6512" s="11"/>
      <c r="F6512" s="9" t="s">
        <v>7</v>
      </c>
    </row>
    <row r="6513" s="1" customFormat="1" customHeight="1" spans="1:6">
      <c r="A6513" s="9" t="str">
        <f>"10180521801"</f>
        <v>10180521801</v>
      </c>
      <c r="B6513" s="10">
        <v>39.42</v>
      </c>
      <c r="C6513" s="9"/>
      <c r="D6513" s="9">
        <f t="shared" si="101"/>
        <v>39.42</v>
      </c>
      <c r="E6513" s="11"/>
      <c r="F6513" s="9"/>
    </row>
    <row r="6514" s="1" customFormat="1" customHeight="1" spans="1:6">
      <c r="A6514" s="9" t="str">
        <f>"10360521802"</f>
        <v>10360521802</v>
      </c>
      <c r="B6514" s="10">
        <v>48.48</v>
      </c>
      <c r="C6514" s="9"/>
      <c r="D6514" s="9">
        <f t="shared" si="101"/>
        <v>48.48</v>
      </c>
      <c r="E6514" s="11"/>
      <c r="F6514" s="9"/>
    </row>
    <row r="6515" s="1" customFormat="1" customHeight="1" spans="1:6">
      <c r="A6515" s="9" t="str">
        <f>"10530521803"</f>
        <v>10530521803</v>
      </c>
      <c r="B6515" s="10">
        <v>31.67</v>
      </c>
      <c r="C6515" s="9"/>
      <c r="D6515" s="9">
        <f t="shared" si="101"/>
        <v>31.67</v>
      </c>
      <c r="E6515" s="11"/>
      <c r="F6515" s="9"/>
    </row>
    <row r="6516" s="1" customFormat="1" customHeight="1" spans="1:6">
      <c r="A6516" s="9" t="str">
        <f>"10530521804"</f>
        <v>10530521804</v>
      </c>
      <c r="B6516" s="10">
        <v>32.22</v>
      </c>
      <c r="C6516" s="9"/>
      <c r="D6516" s="9">
        <f t="shared" si="101"/>
        <v>32.22</v>
      </c>
      <c r="E6516" s="11"/>
      <c r="F6516" s="9"/>
    </row>
    <row r="6517" s="1" customFormat="1" customHeight="1" spans="1:6">
      <c r="A6517" s="9" t="str">
        <f>"10360521805"</f>
        <v>10360521805</v>
      </c>
      <c r="B6517" s="10">
        <v>49.79</v>
      </c>
      <c r="C6517" s="9"/>
      <c r="D6517" s="9">
        <f t="shared" si="101"/>
        <v>49.79</v>
      </c>
      <c r="E6517" s="11"/>
      <c r="F6517" s="9"/>
    </row>
    <row r="6518" s="1" customFormat="1" customHeight="1" spans="1:6">
      <c r="A6518" s="9" t="str">
        <f>"10360521806"</f>
        <v>10360521806</v>
      </c>
      <c r="B6518" s="10">
        <v>0</v>
      </c>
      <c r="C6518" s="9"/>
      <c r="D6518" s="9">
        <f t="shared" si="101"/>
        <v>0</v>
      </c>
      <c r="E6518" s="11"/>
      <c r="F6518" s="9" t="s">
        <v>7</v>
      </c>
    </row>
    <row r="6519" s="1" customFormat="1" customHeight="1" spans="1:6">
      <c r="A6519" s="9" t="str">
        <f>"10140521807"</f>
        <v>10140521807</v>
      </c>
      <c r="B6519" s="10">
        <v>34.81</v>
      </c>
      <c r="C6519" s="9"/>
      <c r="D6519" s="9">
        <f t="shared" si="101"/>
        <v>34.81</v>
      </c>
      <c r="E6519" s="11"/>
      <c r="F6519" s="9"/>
    </row>
    <row r="6520" s="1" customFormat="1" customHeight="1" spans="1:6">
      <c r="A6520" s="9" t="str">
        <f>"10360521808"</f>
        <v>10360521808</v>
      </c>
      <c r="B6520" s="10">
        <v>24.09</v>
      </c>
      <c r="C6520" s="9"/>
      <c r="D6520" s="9">
        <f t="shared" si="101"/>
        <v>24.09</v>
      </c>
      <c r="E6520" s="11"/>
      <c r="F6520" s="9"/>
    </row>
    <row r="6521" s="1" customFormat="1" customHeight="1" spans="1:6">
      <c r="A6521" s="9" t="str">
        <f>"10140521809"</f>
        <v>10140521809</v>
      </c>
      <c r="B6521" s="10">
        <v>40.22</v>
      </c>
      <c r="C6521" s="9"/>
      <c r="D6521" s="9">
        <f t="shared" si="101"/>
        <v>40.22</v>
      </c>
      <c r="E6521" s="11"/>
      <c r="F6521" s="9"/>
    </row>
    <row r="6522" s="1" customFormat="1" customHeight="1" spans="1:6">
      <c r="A6522" s="9" t="str">
        <f>"10360521810"</f>
        <v>10360521810</v>
      </c>
      <c r="B6522" s="10">
        <v>0</v>
      </c>
      <c r="C6522" s="9"/>
      <c r="D6522" s="9">
        <f t="shared" si="101"/>
        <v>0</v>
      </c>
      <c r="E6522" s="11"/>
      <c r="F6522" s="9" t="s">
        <v>7</v>
      </c>
    </row>
    <row r="6523" s="1" customFormat="1" customHeight="1" spans="1:6">
      <c r="A6523" s="9" t="str">
        <f>"10530521811"</f>
        <v>10530521811</v>
      </c>
      <c r="B6523" s="10">
        <v>40.13</v>
      </c>
      <c r="C6523" s="9"/>
      <c r="D6523" s="9">
        <f t="shared" si="101"/>
        <v>40.13</v>
      </c>
      <c r="E6523" s="11"/>
      <c r="F6523" s="9"/>
    </row>
    <row r="6524" s="1" customFormat="1" customHeight="1" spans="1:6">
      <c r="A6524" s="9" t="str">
        <f>"10330521812"</f>
        <v>10330521812</v>
      </c>
      <c r="B6524" s="10">
        <v>0</v>
      </c>
      <c r="C6524" s="9"/>
      <c r="D6524" s="9">
        <f t="shared" si="101"/>
        <v>0</v>
      </c>
      <c r="E6524" s="11"/>
      <c r="F6524" s="9" t="s">
        <v>7</v>
      </c>
    </row>
    <row r="6525" s="1" customFormat="1" customHeight="1" spans="1:6">
      <c r="A6525" s="9" t="str">
        <f>"10130521813"</f>
        <v>10130521813</v>
      </c>
      <c r="B6525" s="10">
        <v>40.3</v>
      </c>
      <c r="C6525" s="9"/>
      <c r="D6525" s="9">
        <f t="shared" si="101"/>
        <v>40.3</v>
      </c>
      <c r="E6525" s="11"/>
      <c r="F6525" s="9"/>
    </row>
    <row r="6526" s="1" customFormat="1" customHeight="1" spans="1:6">
      <c r="A6526" s="9" t="str">
        <f>"10360521814"</f>
        <v>10360521814</v>
      </c>
      <c r="B6526" s="10">
        <v>37.76</v>
      </c>
      <c r="C6526" s="9"/>
      <c r="D6526" s="9">
        <f t="shared" si="101"/>
        <v>37.76</v>
      </c>
      <c r="E6526" s="11"/>
      <c r="F6526" s="9"/>
    </row>
    <row r="6527" s="1" customFormat="1" customHeight="1" spans="1:6">
      <c r="A6527" s="9" t="str">
        <f>"10330521815"</f>
        <v>10330521815</v>
      </c>
      <c r="B6527" s="10">
        <v>0</v>
      </c>
      <c r="C6527" s="9"/>
      <c r="D6527" s="9">
        <f t="shared" si="101"/>
        <v>0</v>
      </c>
      <c r="E6527" s="11"/>
      <c r="F6527" s="9" t="s">
        <v>7</v>
      </c>
    </row>
    <row r="6528" s="1" customFormat="1" customHeight="1" spans="1:6">
      <c r="A6528" s="9" t="str">
        <f>"10360521816"</f>
        <v>10360521816</v>
      </c>
      <c r="B6528" s="10">
        <v>0</v>
      </c>
      <c r="C6528" s="9"/>
      <c r="D6528" s="9">
        <f t="shared" si="101"/>
        <v>0</v>
      </c>
      <c r="E6528" s="11"/>
      <c r="F6528" s="9" t="s">
        <v>7</v>
      </c>
    </row>
    <row r="6529" s="1" customFormat="1" customHeight="1" spans="1:6">
      <c r="A6529" s="9" t="str">
        <f>"10380521817"</f>
        <v>10380521817</v>
      </c>
      <c r="B6529" s="10">
        <v>46.74</v>
      </c>
      <c r="C6529" s="9"/>
      <c r="D6529" s="9">
        <f t="shared" si="101"/>
        <v>46.74</v>
      </c>
      <c r="E6529" s="11"/>
      <c r="F6529" s="9"/>
    </row>
    <row r="6530" s="1" customFormat="1" customHeight="1" spans="1:6">
      <c r="A6530" s="9" t="str">
        <f>"10070521818"</f>
        <v>10070521818</v>
      </c>
      <c r="B6530" s="10">
        <v>0</v>
      </c>
      <c r="C6530" s="9"/>
      <c r="D6530" s="9">
        <f t="shared" si="101"/>
        <v>0</v>
      </c>
      <c r="E6530" s="11"/>
      <c r="F6530" s="9" t="s">
        <v>7</v>
      </c>
    </row>
    <row r="6531" s="1" customFormat="1" customHeight="1" spans="1:6">
      <c r="A6531" s="9" t="str">
        <f>"10340521819"</f>
        <v>10340521819</v>
      </c>
      <c r="B6531" s="10">
        <v>37.9</v>
      </c>
      <c r="C6531" s="9"/>
      <c r="D6531" s="9">
        <f t="shared" ref="D6531:D6594" si="102">SUM(B6531:C6531)</f>
        <v>37.9</v>
      </c>
      <c r="E6531" s="11"/>
      <c r="F6531" s="9"/>
    </row>
    <row r="6532" s="1" customFormat="1" customHeight="1" spans="1:6">
      <c r="A6532" s="9" t="str">
        <f>"10520521820"</f>
        <v>10520521820</v>
      </c>
      <c r="B6532" s="10">
        <v>34.84</v>
      </c>
      <c r="C6532" s="9"/>
      <c r="D6532" s="9">
        <f t="shared" si="102"/>
        <v>34.84</v>
      </c>
      <c r="E6532" s="11"/>
      <c r="F6532" s="9"/>
    </row>
    <row r="6533" s="1" customFormat="1" customHeight="1" spans="1:6">
      <c r="A6533" s="9" t="str">
        <f>"10520521821"</f>
        <v>10520521821</v>
      </c>
      <c r="B6533" s="10">
        <v>42.48</v>
      </c>
      <c r="C6533" s="9"/>
      <c r="D6533" s="9">
        <f t="shared" si="102"/>
        <v>42.48</v>
      </c>
      <c r="E6533" s="11"/>
      <c r="F6533" s="9"/>
    </row>
    <row r="6534" s="1" customFormat="1" customHeight="1" spans="1:6">
      <c r="A6534" s="9" t="str">
        <f>"10100521822"</f>
        <v>10100521822</v>
      </c>
      <c r="B6534" s="10">
        <v>0</v>
      </c>
      <c r="C6534" s="9"/>
      <c r="D6534" s="9">
        <f t="shared" si="102"/>
        <v>0</v>
      </c>
      <c r="E6534" s="11"/>
      <c r="F6534" s="9" t="s">
        <v>7</v>
      </c>
    </row>
    <row r="6535" s="1" customFormat="1" customHeight="1" spans="1:6">
      <c r="A6535" s="9" t="str">
        <f>"10490521823"</f>
        <v>10490521823</v>
      </c>
      <c r="B6535" s="10">
        <v>34.96</v>
      </c>
      <c r="C6535" s="9"/>
      <c r="D6535" s="9">
        <f t="shared" si="102"/>
        <v>34.96</v>
      </c>
      <c r="E6535" s="11"/>
      <c r="F6535" s="9"/>
    </row>
    <row r="6536" s="1" customFormat="1" customHeight="1" spans="1:6">
      <c r="A6536" s="9" t="str">
        <f>"10200521824"</f>
        <v>10200521824</v>
      </c>
      <c r="B6536" s="10">
        <v>42.44</v>
      </c>
      <c r="C6536" s="9"/>
      <c r="D6536" s="9">
        <f t="shared" si="102"/>
        <v>42.44</v>
      </c>
      <c r="E6536" s="11"/>
      <c r="F6536" s="9"/>
    </row>
    <row r="6537" s="1" customFormat="1" customHeight="1" spans="1:6">
      <c r="A6537" s="9" t="str">
        <f>"10270521825"</f>
        <v>10270521825</v>
      </c>
      <c r="B6537" s="10">
        <v>43.26</v>
      </c>
      <c r="C6537" s="9"/>
      <c r="D6537" s="9">
        <f t="shared" si="102"/>
        <v>43.26</v>
      </c>
      <c r="E6537" s="11"/>
      <c r="F6537" s="9"/>
    </row>
    <row r="6538" s="1" customFormat="1" customHeight="1" spans="1:6">
      <c r="A6538" s="9" t="str">
        <f>"10460521826"</f>
        <v>10460521826</v>
      </c>
      <c r="B6538" s="10">
        <v>43.22</v>
      </c>
      <c r="C6538" s="9"/>
      <c r="D6538" s="9">
        <f t="shared" si="102"/>
        <v>43.22</v>
      </c>
      <c r="E6538" s="11"/>
      <c r="F6538" s="9"/>
    </row>
    <row r="6539" s="1" customFormat="1" customHeight="1" spans="1:6">
      <c r="A6539" s="9" t="str">
        <f>"10320521827"</f>
        <v>10320521827</v>
      </c>
      <c r="B6539" s="10">
        <v>35.35</v>
      </c>
      <c r="C6539" s="9"/>
      <c r="D6539" s="9">
        <f t="shared" si="102"/>
        <v>35.35</v>
      </c>
      <c r="E6539" s="11"/>
      <c r="F6539" s="9"/>
    </row>
    <row r="6540" s="1" customFormat="1" customHeight="1" spans="1:6">
      <c r="A6540" s="9" t="str">
        <f>"10360521828"</f>
        <v>10360521828</v>
      </c>
      <c r="B6540" s="10">
        <v>0</v>
      </c>
      <c r="C6540" s="9"/>
      <c r="D6540" s="9">
        <f t="shared" si="102"/>
        <v>0</v>
      </c>
      <c r="E6540" s="11"/>
      <c r="F6540" s="9" t="s">
        <v>7</v>
      </c>
    </row>
    <row r="6541" s="1" customFormat="1" customHeight="1" spans="1:6">
      <c r="A6541" s="9" t="str">
        <f>"10530521829"</f>
        <v>10530521829</v>
      </c>
      <c r="B6541" s="10">
        <v>0</v>
      </c>
      <c r="C6541" s="9"/>
      <c r="D6541" s="9">
        <f t="shared" si="102"/>
        <v>0</v>
      </c>
      <c r="E6541" s="11"/>
      <c r="F6541" s="9" t="s">
        <v>7</v>
      </c>
    </row>
    <row r="6542" s="1" customFormat="1" customHeight="1" spans="1:6">
      <c r="A6542" s="9" t="str">
        <f>"10280521830"</f>
        <v>10280521830</v>
      </c>
      <c r="B6542" s="10">
        <v>38.22</v>
      </c>
      <c r="C6542" s="9"/>
      <c r="D6542" s="9">
        <f t="shared" si="102"/>
        <v>38.22</v>
      </c>
      <c r="E6542" s="11"/>
      <c r="F6542" s="9"/>
    </row>
    <row r="6543" s="1" customFormat="1" customHeight="1" spans="1:6">
      <c r="A6543" s="9" t="str">
        <f>"10100521901"</f>
        <v>10100521901</v>
      </c>
      <c r="B6543" s="10">
        <v>41.29</v>
      </c>
      <c r="C6543" s="9"/>
      <c r="D6543" s="9">
        <f t="shared" si="102"/>
        <v>41.29</v>
      </c>
      <c r="E6543" s="11"/>
      <c r="F6543" s="9"/>
    </row>
    <row r="6544" s="1" customFormat="1" customHeight="1" spans="1:6">
      <c r="A6544" s="9" t="str">
        <f>"10080521902"</f>
        <v>10080521902</v>
      </c>
      <c r="B6544" s="10">
        <v>41.96</v>
      </c>
      <c r="C6544" s="9"/>
      <c r="D6544" s="9">
        <f t="shared" si="102"/>
        <v>41.96</v>
      </c>
      <c r="E6544" s="11"/>
      <c r="F6544" s="9"/>
    </row>
    <row r="6545" s="1" customFormat="1" customHeight="1" spans="1:6">
      <c r="A6545" s="9" t="str">
        <f>"10360521903"</f>
        <v>10360521903</v>
      </c>
      <c r="B6545" s="10">
        <v>36.37</v>
      </c>
      <c r="C6545" s="9"/>
      <c r="D6545" s="9">
        <f t="shared" si="102"/>
        <v>36.37</v>
      </c>
      <c r="E6545" s="11"/>
      <c r="F6545" s="9"/>
    </row>
    <row r="6546" s="1" customFormat="1" customHeight="1" spans="1:6">
      <c r="A6546" s="9" t="str">
        <f>"10440521904"</f>
        <v>10440521904</v>
      </c>
      <c r="B6546" s="10">
        <v>41.48</v>
      </c>
      <c r="C6546" s="9"/>
      <c r="D6546" s="9">
        <f t="shared" si="102"/>
        <v>41.48</v>
      </c>
      <c r="E6546" s="11"/>
      <c r="F6546" s="9"/>
    </row>
    <row r="6547" s="1" customFormat="1" customHeight="1" spans="1:6">
      <c r="A6547" s="9" t="str">
        <f>"10360521905"</f>
        <v>10360521905</v>
      </c>
      <c r="B6547" s="10">
        <v>0</v>
      </c>
      <c r="C6547" s="9"/>
      <c r="D6547" s="9">
        <f t="shared" si="102"/>
        <v>0</v>
      </c>
      <c r="E6547" s="11"/>
      <c r="F6547" s="9" t="s">
        <v>7</v>
      </c>
    </row>
    <row r="6548" s="1" customFormat="1" customHeight="1" spans="1:6">
      <c r="A6548" s="9" t="str">
        <f>"10130521906"</f>
        <v>10130521906</v>
      </c>
      <c r="B6548" s="10">
        <v>31.68</v>
      </c>
      <c r="C6548" s="9"/>
      <c r="D6548" s="9">
        <f t="shared" si="102"/>
        <v>31.68</v>
      </c>
      <c r="E6548" s="11"/>
      <c r="F6548" s="9"/>
    </row>
    <row r="6549" s="1" customFormat="1" customHeight="1" spans="1:6">
      <c r="A6549" s="9" t="str">
        <f>"10140521907"</f>
        <v>10140521907</v>
      </c>
      <c r="B6549" s="10">
        <v>40.17</v>
      </c>
      <c r="C6549" s="9"/>
      <c r="D6549" s="9">
        <f t="shared" si="102"/>
        <v>40.17</v>
      </c>
      <c r="E6549" s="11"/>
      <c r="F6549" s="9"/>
    </row>
    <row r="6550" s="1" customFormat="1" customHeight="1" spans="1:6">
      <c r="A6550" s="9" t="str">
        <f>"10210521908"</f>
        <v>10210521908</v>
      </c>
      <c r="B6550" s="10">
        <v>34.72</v>
      </c>
      <c r="C6550" s="9"/>
      <c r="D6550" s="9">
        <f t="shared" si="102"/>
        <v>34.72</v>
      </c>
      <c r="E6550" s="11"/>
      <c r="F6550" s="9"/>
    </row>
    <row r="6551" s="1" customFormat="1" customHeight="1" spans="1:6">
      <c r="A6551" s="9" t="str">
        <f>"10360521909"</f>
        <v>10360521909</v>
      </c>
      <c r="B6551" s="10">
        <v>39.5</v>
      </c>
      <c r="C6551" s="9"/>
      <c r="D6551" s="9">
        <f t="shared" si="102"/>
        <v>39.5</v>
      </c>
      <c r="E6551" s="11"/>
      <c r="F6551" s="9"/>
    </row>
    <row r="6552" s="1" customFormat="1" customHeight="1" spans="1:6">
      <c r="A6552" s="9" t="str">
        <f>"20180521910"</f>
        <v>20180521910</v>
      </c>
      <c r="B6552" s="10">
        <v>49.67</v>
      </c>
      <c r="C6552" s="9"/>
      <c r="D6552" s="9">
        <f t="shared" si="102"/>
        <v>49.67</v>
      </c>
      <c r="E6552" s="11"/>
      <c r="F6552" s="9"/>
    </row>
    <row r="6553" s="1" customFormat="1" customHeight="1" spans="1:6">
      <c r="A6553" s="9" t="str">
        <f>"10060521911"</f>
        <v>10060521911</v>
      </c>
      <c r="B6553" s="10">
        <v>0</v>
      </c>
      <c r="C6553" s="9"/>
      <c r="D6553" s="9">
        <f t="shared" si="102"/>
        <v>0</v>
      </c>
      <c r="E6553" s="11"/>
      <c r="F6553" s="9" t="s">
        <v>7</v>
      </c>
    </row>
    <row r="6554" s="1" customFormat="1" customHeight="1" spans="1:6">
      <c r="A6554" s="9" t="str">
        <f>"10270521912"</f>
        <v>10270521912</v>
      </c>
      <c r="B6554" s="10">
        <v>0</v>
      </c>
      <c r="C6554" s="9"/>
      <c r="D6554" s="9">
        <f t="shared" si="102"/>
        <v>0</v>
      </c>
      <c r="E6554" s="11"/>
      <c r="F6554" s="9" t="s">
        <v>7</v>
      </c>
    </row>
    <row r="6555" s="1" customFormat="1" customHeight="1" spans="1:6">
      <c r="A6555" s="9" t="str">
        <f>"10180521913"</f>
        <v>10180521913</v>
      </c>
      <c r="B6555" s="10">
        <v>30.23</v>
      </c>
      <c r="C6555" s="9"/>
      <c r="D6555" s="9">
        <f t="shared" si="102"/>
        <v>30.23</v>
      </c>
      <c r="E6555" s="11"/>
      <c r="F6555" s="9"/>
    </row>
    <row r="6556" s="1" customFormat="1" customHeight="1" spans="1:6">
      <c r="A6556" s="9" t="str">
        <f>"10360521914"</f>
        <v>10360521914</v>
      </c>
      <c r="B6556" s="10">
        <v>33.72</v>
      </c>
      <c r="C6556" s="9"/>
      <c r="D6556" s="9">
        <f t="shared" si="102"/>
        <v>33.72</v>
      </c>
      <c r="E6556" s="11"/>
      <c r="F6556" s="9"/>
    </row>
    <row r="6557" s="1" customFormat="1" customHeight="1" spans="1:6">
      <c r="A6557" s="9" t="str">
        <f>"10080521915"</f>
        <v>10080521915</v>
      </c>
      <c r="B6557" s="10">
        <v>38.69</v>
      </c>
      <c r="C6557" s="9"/>
      <c r="D6557" s="9">
        <f t="shared" si="102"/>
        <v>38.69</v>
      </c>
      <c r="E6557" s="11"/>
      <c r="F6557" s="9"/>
    </row>
    <row r="6558" s="1" customFormat="1" customHeight="1" spans="1:6">
      <c r="A6558" s="9" t="str">
        <f>"10230521916"</f>
        <v>10230521916</v>
      </c>
      <c r="B6558" s="10">
        <v>0</v>
      </c>
      <c r="C6558" s="9"/>
      <c r="D6558" s="9">
        <f t="shared" si="102"/>
        <v>0</v>
      </c>
      <c r="E6558" s="11"/>
      <c r="F6558" s="9" t="s">
        <v>7</v>
      </c>
    </row>
    <row r="6559" s="1" customFormat="1" customHeight="1" spans="1:6">
      <c r="A6559" s="9" t="str">
        <f>"10210521917"</f>
        <v>10210521917</v>
      </c>
      <c r="B6559" s="10">
        <v>41.74</v>
      </c>
      <c r="C6559" s="9"/>
      <c r="D6559" s="9">
        <f t="shared" si="102"/>
        <v>41.74</v>
      </c>
      <c r="E6559" s="11"/>
      <c r="F6559" s="9"/>
    </row>
    <row r="6560" s="1" customFormat="1" customHeight="1" spans="1:6">
      <c r="A6560" s="9" t="str">
        <f>"10440521918"</f>
        <v>10440521918</v>
      </c>
      <c r="B6560" s="10">
        <v>28</v>
      </c>
      <c r="C6560" s="9"/>
      <c r="D6560" s="9">
        <f t="shared" si="102"/>
        <v>28</v>
      </c>
      <c r="E6560" s="11"/>
      <c r="F6560" s="9"/>
    </row>
    <row r="6561" s="1" customFormat="1" customHeight="1" spans="1:6">
      <c r="A6561" s="9" t="str">
        <f>"10430521919"</f>
        <v>10430521919</v>
      </c>
      <c r="B6561" s="10">
        <v>37.84</v>
      </c>
      <c r="C6561" s="9"/>
      <c r="D6561" s="9">
        <f t="shared" si="102"/>
        <v>37.84</v>
      </c>
      <c r="E6561" s="11"/>
      <c r="F6561" s="9"/>
    </row>
    <row r="6562" s="1" customFormat="1" customHeight="1" spans="1:6">
      <c r="A6562" s="9" t="str">
        <f>"10360521920"</f>
        <v>10360521920</v>
      </c>
      <c r="B6562" s="10">
        <v>42.15</v>
      </c>
      <c r="C6562" s="9"/>
      <c r="D6562" s="9">
        <f t="shared" si="102"/>
        <v>42.15</v>
      </c>
      <c r="E6562" s="11"/>
      <c r="F6562" s="9"/>
    </row>
    <row r="6563" s="1" customFormat="1" customHeight="1" spans="1:6">
      <c r="A6563" s="9" t="str">
        <f>"10290521921"</f>
        <v>10290521921</v>
      </c>
      <c r="B6563" s="10">
        <v>42.48</v>
      </c>
      <c r="C6563" s="9"/>
      <c r="D6563" s="9">
        <f t="shared" si="102"/>
        <v>42.48</v>
      </c>
      <c r="E6563" s="11"/>
      <c r="F6563" s="9"/>
    </row>
    <row r="6564" s="1" customFormat="1" customHeight="1" spans="1:6">
      <c r="A6564" s="9" t="str">
        <f>"10300521922"</f>
        <v>10300521922</v>
      </c>
      <c r="B6564" s="10">
        <v>33.72</v>
      </c>
      <c r="C6564" s="9"/>
      <c r="D6564" s="9">
        <f t="shared" si="102"/>
        <v>33.72</v>
      </c>
      <c r="E6564" s="11"/>
      <c r="F6564" s="9"/>
    </row>
    <row r="6565" s="1" customFormat="1" customHeight="1" spans="1:6">
      <c r="A6565" s="9" t="str">
        <f>"10510521923"</f>
        <v>10510521923</v>
      </c>
      <c r="B6565" s="10">
        <v>32.16</v>
      </c>
      <c r="C6565" s="9"/>
      <c r="D6565" s="9">
        <f t="shared" si="102"/>
        <v>32.16</v>
      </c>
      <c r="E6565" s="11"/>
      <c r="F6565" s="9"/>
    </row>
    <row r="6566" s="1" customFormat="1" customHeight="1" spans="1:6">
      <c r="A6566" s="9" t="str">
        <f>"10500521924"</f>
        <v>10500521924</v>
      </c>
      <c r="B6566" s="10">
        <v>44.42</v>
      </c>
      <c r="C6566" s="9"/>
      <c r="D6566" s="9">
        <f t="shared" si="102"/>
        <v>44.42</v>
      </c>
      <c r="E6566" s="11"/>
      <c r="F6566" s="9"/>
    </row>
    <row r="6567" s="1" customFormat="1" customHeight="1" spans="1:6">
      <c r="A6567" s="9" t="str">
        <f>"10180521925"</f>
        <v>10180521925</v>
      </c>
      <c r="B6567" s="10">
        <v>39.55</v>
      </c>
      <c r="C6567" s="9"/>
      <c r="D6567" s="9">
        <f t="shared" si="102"/>
        <v>39.55</v>
      </c>
      <c r="E6567" s="11"/>
      <c r="F6567" s="9"/>
    </row>
    <row r="6568" s="1" customFormat="1" customHeight="1" spans="1:6">
      <c r="A6568" s="9" t="str">
        <f>"10210521926"</f>
        <v>10210521926</v>
      </c>
      <c r="B6568" s="10">
        <v>0</v>
      </c>
      <c r="C6568" s="9"/>
      <c r="D6568" s="9">
        <f t="shared" si="102"/>
        <v>0</v>
      </c>
      <c r="E6568" s="11"/>
      <c r="F6568" s="9" t="s">
        <v>7</v>
      </c>
    </row>
    <row r="6569" s="1" customFormat="1" customHeight="1" spans="1:6">
      <c r="A6569" s="9" t="str">
        <f>"10270521927"</f>
        <v>10270521927</v>
      </c>
      <c r="B6569" s="10">
        <v>48.4</v>
      </c>
      <c r="C6569" s="9"/>
      <c r="D6569" s="9">
        <f t="shared" si="102"/>
        <v>48.4</v>
      </c>
      <c r="E6569" s="11"/>
      <c r="F6569" s="9"/>
    </row>
    <row r="6570" s="1" customFormat="1" customHeight="1" spans="1:6">
      <c r="A6570" s="9" t="str">
        <f>"10140521928"</f>
        <v>10140521928</v>
      </c>
      <c r="B6570" s="10">
        <v>39.24</v>
      </c>
      <c r="C6570" s="9"/>
      <c r="D6570" s="9">
        <f t="shared" si="102"/>
        <v>39.24</v>
      </c>
      <c r="E6570" s="11"/>
      <c r="F6570" s="9"/>
    </row>
    <row r="6571" s="1" customFormat="1" customHeight="1" spans="1:6">
      <c r="A6571" s="9" t="str">
        <f>"10230521929"</f>
        <v>10230521929</v>
      </c>
      <c r="B6571" s="10">
        <v>41.25</v>
      </c>
      <c r="C6571" s="9"/>
      <c r="D6571" s="9">
        <f t="shared" si="102"/>
        <v>41.25</v>
      </c>
      <c r="E6571" s="11"/>
      <c r="F6571" s="9"/>
    </row>
    <row r="6572" s="1" customFormat="1" customHeight="1" spans="1:6">
      <c r="A6572" s="9" t="str">
        <f>"10340521930"</f>
        <v>10340521930</v>
      </c>
      <c r="B6572" s="10">
        <v>48.62</v>
      </c>
      <c r="C6572" s="9"/>
      <c r="D6572" s="9">
        <f t="shared" si="102"/>
        <v>48.62</v>
      </c>
      <c r="E6572" s="11"/>
      <c r="F6572" s="9"/>
    </row>
    <row r="6573" s="1" customFormat="1" customHeight="1" spans="1:6">
      <c r="A6573" s="9" t="str">
        <f>"20270522001"</f>
        <v>20270522001</v>
      </c>
      <c r="B6573" s="10">
        <v>0</v>
      </c>
      <c r="C6573" s="9"/>
      <c r="D6573" s="9">
        <f t="shared" si="102"/>
        <v>0</v>
      </c>
      <c r="E6573" s="11"/>
      <c r="F6573" s="9" t="s">
        <v>7</v>
      </c>
    </row>
    <row r="6574" s="1" customFormat="1" customHeight="1" spans="1:6">
      <c r="A6574" s="9" t="str">
        <f>"10360522002"</f>
        <v>10360522002</v>
      </c>
      <c r="B6574" s="10">
        <v>38.5</v>
      </c>
      <c r="C6574" s="9"/>
      <c r="D6574" s="9">
        <f t="shared" si="102"/>
        <v>38.5</v>
      </c>
      <c r="E6574" s="11"/>
      <c r="F6574" s="9"/>
    </row>
    <row r="6575" s="1" customFormat="1" customHeight="1" spans="1:6">
      <c r="A6575" s="9" t="str">
        <f>"10040522003"</f>
        <v>10040522003</v>
      </c>
      <c r="B6575" s="10">
        <v>42.33</v>
      </c>
      <c r="C6575" s="9"/>
      <c r="D6575" s="9">
        <f t="shared" si="102"/>
        <v>42.33</v>
      </c>
      <c r="E6575" s="11"/>
      <c r="F6575" s="9"/>
    </row>
    <row r="6576" s="1" customFormat="1" customHeight="1" spans="1:6">
      <c r="A6576" s="9" t="str">
        <f>"10240522004"</f>
        <v>10240522004</v>
      </c>
      <c r="B6576" s="10">
        <v>36.42</v>
      </c>
      <c r="C6576" s="9"/>
      <c r="D6576" s="9">
        <f t="shared" si="102"/>
        <v>36.42</v>
      </c>
      <c r="E6576" s="11"/>
      <c r="F6576" s="9"/>
    </row>
    <row r="6577" s="1" customFormat="1" customHeight="1" spans="1:6">
      <c r="A6577" s="9" t="str">
        <f>"10370522005"</f>
        <v>10370522005</v>
      </c>
      <c r="B6577" s="10">
        <v>0</v>
      </c>
      <c r="C6577" s="9"/>
      <c r="D6577" s="9">
        <f t="shared" si="102"/>
        <v>0</v>
      </c>
      <c r="E6577" s="11"/>
      <c r="F6577" s="9" t="s">
        <v>7</v>
      </c>
    </row>
    <row r="6578" s="1" customFormat="1" customHeight="1" spans="1:6">
      <c r="A6578" s="9" t="str">
        <f>"10060522006"</f>
        <v>10060522006</v>
      </c>
      <c r="B6578" s="10">
        <v>47.91</v>
      </c>
      <c r="C6578" s="9"/>
      <c r="D6578" s="9">
        <f t="shared" si="102"/>
        <v>47.91</v>
      </c>
      <c r="E6578" s="11"/>
      <c r="F6578" s="9"/>
    </row>
    <row r="6579" s="1" customFormat="1" customHeight="1" spans="1:6">
      <c r="A6579" s="9" t="str">
        <f>"10530522007"</f>
        <v>10530522007</v>
      </c>
      <c r="B6579" s="10">
        <v>0</v>
      </c>
      <c r="C6579" s="9"/>
      <c r="D6579" s="9">
        <f t="shared" si="102"/>
        <v>0</v>
      </c>
      <c r="E6579" s="11"/>
      <c r="F6579" s="9" t="s">
        <v>7</v>
      </c>
    </row>
    <row r="6580" s="1" customFormat="1" customHeight="1" spans="1:6">
      <c r="A6580" s="9" t="str">
        <f>"10500522008"</f>
        <v>10500522008</v>
      </c>
      <c r="B6580" s="10">
        <v>38.72</v>
      </c>
      <c r="C6580" s="9"/>
      <c r="D6580" s="9">
        <f t="shared" si="102"/>
        <v>38.72</v>
      </c>
      <c r="E6580" s="11"/>
      <c r="F6580" s="9"/>
    </row>
    <row r="6581" s="1" customFormat="1" customHeight="1" spans="1:6">
      <c r="A6581" s="9" t="str">
        <f>"10360522009"</f>
        <v>10360522009</v>
      </c>
      <c r="B6581" s="10">
        <v>0</v>
      </c>
      <c r="C6581" s="9"/>
      <c r="D6581" s="9">
        <f t="shared" si="102"/>
        <v>0</v>
      </c>
      <c r="E6581" s="11"/>
      <c r="F6581" s="9" t="s">
        <v>7</v>
      </c>
    </row>
    <row r="6582" s="1" customFormat="1" customHeight="1" spans="1:6">
      <c r="A6582" s="9" t="str">
        <f>"10240522010"</f>
        <v>10240522010</v>
      </c>
      <c r="B6582" s="10">
        <v>0</v>
      </c>
      <c r="C6582" s="9"/>
      <c r="D6582" s="9">
        <f t="shared" si="102"/>
        <v>0</v>
      </c>
      <c r="E6582" s="11"/>
      <c r="F6582" s="9" t="s">
        <v>7</v>
      </c>
    </row>
    <row r="6583" s="1" customFormat="1" customHeight="1" spans="1:6">
      <c r="A6583" s="9" t="str">
        <f>"10360522011"</f>
        <v>10360522011</v>
      </c>
      <c r="B6583" s="10">
        <v>21.67</v>
      </c>
      <c r="C6583" s="9"/>
      <c r="D6583" s="9">
        <f t="shared" si="102"/>
        <v>21.67</v>
      </c>
      <c r="E6583" s="11"/>
      <c r="F6583" s="9"/>
    </row>
    <row r="6584" s="1" customFormat="1" customHeight="1" spans="1:6">
      <c r="A6584" s="9" t="str">
        <f>"10360522012"</f>
        <v>10360522012</v>
      </c>
      <c r="B6584" s="10">
        <v>35.86</v>
      </c>
      <c r="C6584" s="9"/>
      <c r="D6584" s="9">
        <f t="shared" si="102"/>
        <v>35.86</v>
      </c>
      <c r="E6584" s="11"/>
      <c r="F6584" s="9"/>
    </row>
    <row r="6585" s="1" customFormat="1" customHeight="1" spans="1:6">
      <c r="A6585" s="9" t="str">
        <f>"10340522013"</f>
        <v>10340522013</v>
      </c>
      <c r="B6585" s="10">
        <v>44.35</v>
      </c>
      <c r="C6585" s="9"/>
      <c r="D6585" s="9">
        <f t="shared" si="102"/>
        <v>44.35</v>
      </c>
      <c r="E6585" s="11"/>
      <c r="F6585" s="9"/>
    </row>
    <row r="6586" s="1" customFormat="1" customHeight="1" spans="1:6">
      <c r="A6586" s="9" t="str">
        <f>"10360522014"</f>
        <v>10360522014</v>
      </c>
      <c r="B6586" s="10">
        <v>33.52</v>
      </c>
      <c r="C6586" s="9"/>
      <c r="D6586" s="9">
        <f t="shared" si="102"/>
        <v>33.52</v>
      </c>
      <c r="E6586" s="11"/>
      <c r="F6586" s="9"/>
    </row>
    <row r="6587" s="1" customFormat="1" customHeight="1" spans="1:6">
      <c r="A6587" s="9" t="str">
        <f>"10080522015"</f>
        <v>10080522015</v>
      </c>
      <c r="B6587" s="10">
        <v>0</v>
      </c>
      <c r="C6587" s="9"/>
      <c r="D6587" s="9">
        <f t="shared" si="102"/>
        <v>0</v>
      </c>
      <c r="E6587" s="11"/>
      <c r="F6587" s="9" t="s">
        <v>7</v>
      </c>
    </row>
    <row r="6588" s="1" customFormat="1" customHeight="1" spans="1:6">
      <c r="A6588" s="9" t="str">
        <f>"10360522016"</f>
        <v>10360522016</v>
      </c>
      <c r="B6588" s="10">
        <v>41.91</v>
      </c>
      <c r="C6588" s="9"/>
      <c r="D6588" s="9">
        <f t="shared" si="102"/>
        <v>41.91</v>
      </c>
      <c r="E6588" s="11"/>
      <c r="F6588" s="9"/>
    </row>
    <row r="6589" s="1" customFormat="1" customHeight="1" spans="1:6">
      <c r="A6589" s="9" t="str">
        <f>"10060522017"</f>
        <v>10060522017</v>
      </c>
      <c r="B6589" s="10">
        <v>36.35</v>
      </c>
      <c r="C6589" s="9"/>
      <c r="D6589" s="9">
        <f t="shared" si="102"/>
        <v>36.35</v>
      </c>
      <c r="E6589" s="11"/>
      <c r="F6589" s="9"/>
    </row>
    <row r="6590" s="1" customFormat="1" customHeight="1" spans="1:6">
      <c r="A6590" s="9" t="str">
        <f>"10130522018"</f>
        <v>10130522018</v>
      </c>
      <c r="B6590" s="10">
        <v>0</v>
      </c>
      <c r="C6590" s="9"/>
      <c r="D6590" s="9">
        <f t="shared" si="102"/>
        <v>0</v>
      </c>
      <c r="E6590" s="11"/>
      <c r="F6590" s="9" t="s">
        <v>7</v>
      </c>
    </row>
    <row r="6591" s="1" customFormat="1" customHeight="1" spans="1:6">
      <c r="A6591" s="9" t="str">
        <f>"10300522019"</f>
        <v>10300522019</v>
      </c>
      <c r="B6591" s="10">
        <v>0</v>
      </c>
      <c r="C6591" s="9"/>
      <c r="D6591" s="9">
        <f t="shared" si="102"/>
        <v>0</v>
      </c>
      <c r="E6591" s="11"/>
      <c r="F6591" s="9" t="s">
        <v>7</v>
      </c>
    </row>
    <row r="6592" s="1" customFormat="1" customHeight="1" spans="1:6">
      <c r="A6592" s="9" t="str">
        <f>"10370522020"</f>
        <v>10370522020</v>
      </c>
      <c r="B6592" s="10">
        <v>0</v>
      </c>
      <c r="C6592" s="9"/>
      <c r="D6592" s="9">
        <f t="shared" si="102"/>
        <v>0</v>
      </c>
      <c r="E6592" s="11"/>
      <c r="F6592" s="9" t="s">
        <v>7</v>
      </c>
    </row>
    <row r="6593" s="1" customFormat="1" customHeight="1" spans="1:6">
      <c r="A6593" s="9" t="str">
        <f>"10330522021"</f>
        <v>10330522021</v>
      </c>
      <c r="B6593" s="10">
        <v>0</v>
      </c>
      <c r="C6593" s="9"/>
      <c r="D6593" s="9">
        <f t="shared" si="102"/>
        <v>0</v>
      </c>
      <c r="E6593" s="11"/>
      <c r="F6593" s="9" t="s">
        <v>7</v>
      </c>
    </row>
    <row r="6594" s="1" customFormat="1" customHeight="1" spans="1:6">
      <c r="A6594" s="9" t="str">
        <f>"10270522022"</f>
        <v>10270522022</v>
      </c>
      <c r="B6594" s="10">
        <v>0</v>
      </c>
      <c r="C6594" s="9"/>
      <c r="D6594" s="9">
        <f t="shared" si="102"/>
        <v>0</v>
      </c>
      <c r="E6594" s="11"/>
      <c r="F6594" s="9" t="s">
        <v>7</v>
      </c>
    </row>
    <row r="6595" s="1" customFormat="1" customHeight="1" spans="1:6">
      <c r="A6595" s="9" t="str">
        <f>"10290522023"</f>
        <v>10290522023</v>
      </c>
      <c r="B6595" s="10">
        <v>45.59</v>
      </c>
      <c r="C6595" s="9"/>
      <c r="D6595" s="9">
        <f t="shared" ref="D6595:D6658" si="103">SUM(B6595:C6595)</f>
        <v>45.59</v>
      </c>
      <c r="E6595" s="11"/>
      <c r="F6595" s="9"/>
    </row>
    <row r="6596" s="1" customFormat="1" customHeight="1" spans="1:6">
      <c r="A6596" s="9" t="str">
        <f>"10130522024"</f>
        <v>10130522024</v>
      </c>
      <c r="B6596" s="10">
        <v>34.37</v>
      </c>
      <c r="C6596" s="9"/>
      <c r="D6596" s="9">
        <f t="shared" si="103"/>
        <v>34.37</v>
      </c>
      <c r="E6596" s="11"/>
      <c r="F6596" s="9"/>
    </row>
    <row r="6597" s="1" customFormat="1" customHeight="1" spans="1:6">
      <c r="A6597" s="9" t="str">
        <f>"10530522025"</f>
        <v>10530522025</v>
      </c>
      <c r="B6597" s="10">
        <v>42.27</v>
      </c>
      <c r="C6597" s="9"/>
      <c r="D6597" s="9">
        <f t="shared" si="103"/>
        <v>42.27</v>
      </c>
      <c r="E6597" s="11"/>
      <c r="F6597" s="9"/>
    </row>
    <row r="6598" s="1" customFormat="1" customHeight="1" spans="1:6">
      <c r="A6598" s="9" t="str">
        <f>"10260522026"</f>
        <v>10260522026</v>
      </c>
      <c r="B6598" s="10">
        <v>0</v>
      </c>
      <c r="C6598" s="9"/>
      <c r="D6598" s="9">
        <f t="shared" si="103"/>
        <v>0</v>
      </c>
      <c r="E6598" s="11"/>
      <c r="F6598" s="9" t="s">
        <v>7</v>
      </c>
    </row>
    <row r="6599" s="1" customFormat="1" customHeight="1" spans="1:6">
      <c r="A6599" s="9" t="str">
        <f>"10010522027"</f>
        <v>10010522027</v>
      </c>
      <c r="B6599" s="10">
        <v>45.33</v>
      </c>
      <c r="C6599" s="9"/>
      <c r="D6599" s="9">
        <f t="shared" si="103"/>
        <v>45.33</v>
      </c>
      <c r="E6599" s="11"/>
      <c r="F6599" s="9"/>
    </row>
    <row r="6600" s="1" customFormat="1" customHeight="1" spans="1:6">
      <c r="A6600" s="9" t="str">
        <f>"10230522028"</f>
        <v>10230522028</v>
      </c>
      <c r="B6600" s="10">
        <v>44.84</v>
      </c>
      <c r="C6600" s="9"/>
      <c r="D6600" s="9">
        <f t="shared" si="103"/>
        <v>44.84</v>
      </c>
      <c r="E6600" s="11"/>
      <c r="F6600" s="9"/>
    </row>
    <row r="6601" s="1" customFormat="1" customHeight="1" spans="1:6">
      <c r="A6601" s="9" t="str">
        <f>"10460522029"</f>
        <v>10460522029</v>
      </c>
      <c r="B6601" s="10">
        <v>38.34</v>
      </c>
      <c r="C6601" s="9"/>
      <c r="D6601" s="9">
        <f t="shared" si="103"/>
        <v>38.34</v>
      </c>
      <c r="E6601" s="11"/>
      <c r="F6601" s="9"/>
    </row>
    <row r="6602" s="1" customFormat="1" customHeight="1" spans="1:6">
      <c r="A6602" s="9" t="str">
        <f>"10130522030"</f>
        <v>10130522030</v>
      </c>
      <c r="B6602" s="10">
        <v>43.56</v>
      </c>
      <c r="C6602" s="9">
        <v>10</v>
      </c>
      <c r="D6602" s="9">
        <f t="shared" si="103"/>
        <v>53.56</v>
      </c>
      <c r="E6602" s="12" t="s">
        <v>8</v>
      </c>
      <c r="F6602" s="9"/>
    </row>
    <row r="6603" s="1" customFormat="1" customHeight="1" spans="1:6">
      <c r="A6603" s="9" t="str">
        <f>"10330522101"</f>
        <v>10330522101</v>
      </c>
      <c r="B6603" s="10">
        <v>35.52</v>
      </c>
      <c r="C6603" s="9"/>
      <c r="D6603" s="9">
        <f t="shared" si="103"/>
        <v>35.52</v>
      </c>
      <c r="E6603" s="11"/>
      <c r="F6603" s="9"/>
    </row>
    <row r="6604" s="1" customFormat="1" customHeight="1" spans="1:6">
      <c r="A6604" s="9" t="str">
        <f>"10360522102"</f>
        <v>10360522102</v>
      </c>
      <c r="B6604" s="10">
        <v>0</v>
      </c>
      <c r="C6604" s="9"/>
      <c r="D6604" s="9">
        <f t="shared" si="103"/>
        <v>0</v>
      </c>
      <c r="E6604" s="11"/>
      <c r="F6604" s="9" t="s">
        <v>7</v>
      </c>
    </row>
    <row r="6605" s="1" customFormat="1" customHeight="1" spans="1:6">
      <c r="A6605" s="9" t="str">
        <f>"10360522103"</f>
        <v>10360522103</v>
      </c>
      <c r="B6605" s="10">
        <v>35.89</v>
      </c>
      <c r="C6605" s="9"/>
      <c r="D6605" s="9">
        <f t="shared" si="103"/>
        <v>35.89</v>
      </c>
      <c r="E6605" s="11"/>
      <c r="F6605" s="9"/>
    </row>
    <row r="6606" s="1" customFormat="1" customHeight="1" spans="1:6">
      <c r="A6606" s="9" t="str">
        <f>"10270522104"</f>
        <v>10270522104</v>
      </c>
      <c r="B6606" s="10">
        <v>0</v>
      </c>
      <c r="C6606" s="9"/>
      <c r="D6606" s="9">
        <f t="shared" si="103"/>
        <v>0</v>
      </c>
      <c r="E6606" s="11"/>
      <c r="F6606" s="9" t="s">
        <v>7</v>
      </c>
    </row>
    <row r="6607" s="1" customFormat="1" customHeight="1" spans="1:6">
      <c r="A6607" s="9" t="str">
        <f>"10520522105"</f>
        <v>10520522105</v>
      </c>
      <c r="B6607" s="10">
        <v>0</v>
      </c>
      <c r="C6607" s="9"/>
      <c r="D6607" s="9">
        <f t="shared" si="103"/>
        <v>0</v>
      </c>
      <c r="E6607" s="11"/>
      <c r="F6607" s="9" t="s">
        <v>7</v>
      </c>
    </row>
    <row r="6608" s="1" customFormat="1" customHeight="1" spans="1:6">
      <c r="A6608" s="9" t="str">
        <f>"10300522106"</f>
        <v>10300522106</v>
      </c>
      <c r="B6608" s="10">
        <v>45.35</v>
      </c>
      <c r="C6608" s="9"/>
      <c r="D6608" s="9">
        <f t="shared" si="103"/>
        <v>45.35</v>
      </c>
      <c r="E6608" s="11"/>
      <c r="F6608" s="9"/>
    </row>
    <row r="6609" s="1" customFormat="1" customHeight="1" spans="1:6">
      <c r="A6609" s="9" t="str">
        <f>"10360522107"</f>
        <v>10360522107</v>
      </c>
      <c r="B6609" s="10">
        <v>38.26</v>
      </c>
      <c r="C6609" s="9"/>
      <c r="D6609" s="9">
        <f t="shared" si="103"/>
        <v>38.26</v>
      </c>
      <c r="E6609" s="11"/>
      <c r="F6609" s="9"/>
    </row>
    <row r="6610" s="1" customFormat="1" customHeight="1" spans="1:6">
      <c r="A6610" s="9" t="str">
        <f>"10090522108"</f>
        <v>10090522108</v>
      </c>
      <c r="B6610" s="10">
        <v>43.63</v>
      </c>
      <c r="C6610" s="9"/>
      <c r="D6610" s="9">
        <f t="shared" si="103"/>
        <v>43.63</v>
      </c>
      <c r="E6610" s="11"/>
      <c r="F6610" s="9"/>
    </row>
    <row r="6611" s="1" customFormat="1" customHeight="1" spans="1:6">
      <c r="A6611" s="9" t="str">
        <f>"10380522109"</f>
        <v>10380522109</v>
      </c>
      <c r="B6611" s="10">
        <v>37.58</v>
      </c>
      <c r="C6611" s="9"/>
      <c r="D6611" s="9">
        <f t="shared" si="103"/>
        <v>37.58</v>
      </c>
      <c r="E6611" s="11"/>
      <c r="F6611" s="9"/>
    </row>
    <row r="6612" s="1" customFormat="1" customHeight="1" spans="1:6">
      <c r="A6612" s="9" t="str">
        <f>"10360522110"</f>
        <v>10360522110</v>
      </c>
      <c r="B6612" s="10">
        <v>44.22</v>
      </c>
      <c r="C6612" s="9"/>
      <c r="D6612" s="9">
        <f t="shared" si="103"/>
        <v>44.22</v>
      </c>
      <c r="E6612" s="11"/>
      <c r="F6612" s="9"/>
    </row>
    <row r="6613" s="1" customFormat="1" customHeight="1" spans="1:6">
      <c r="A6613" s="9" t="str">
        <f>"10120522111"</f>
        <v>10120522111</v>
      </c>
      <c r="B6613" s="10">
        <v>39.05</v>
      </c>
      <c r="C6613" s="9"/>
      <c r="D6613" s="9">
        <f t="shared" si="103"/>
        <v>39.05</v>
      </c>
      <c r="E6613" s="11"/>
      <c r="F6613" s="9"/>
    </row>
    <row r="6614" s="1" customFormat="1" customHeight="1" spans="1:6">
      <c r="A6614" s="9" t="str">
        <f>"10170522112"</f>
        <v>10170522112</v>
      </c>
      <c r="B6614" s="10">
        <v>41.34</v>
      </c>
      <c r="C6614" s="9"/>
      <c r="D6614" s="9">
        <f t="shared" si="103"/>
        <v>41.34</v>
      </c>
      <c r="E6614" s="11"/>
      <c r="F6614" s="9"/>
    </row>
    <row r="6615" s="1" customFormat="1" customHeight="1" spans="1:6">
      <c r="A6615" s="9" t="str">
        <f>"20180522113"</f>
        <v>20180522113</v>
      </c>
      <c r="B6615" s="10">
        <v>47.28</v>
      </c>
      <c r="C6615" s="9"/>
      <c r="D6615" s="9">
        <f t="shared" si="103"/>
        <v>47.28</v>
      </c>
      <c r="E6615" s="11"/>
      <c r="F6615" s="9"/>
    </row>
    <row r="6616" s="1" customFormat="1" customHeight="1" spans="1:6">
      <c r="A6616" s="9" t="str">
        <f>"10530522114"</f>
        <v>10530522114</v>
      </c>
      <c r="B6616" s="10">
        <v>37.43</v>
      </c>
      <c r="C6616" s="9"/>
      <c r="D6616" s="9">
        <f t="shared" si="103"/>
        <v>37.43</v>
      </c>
      <c r="E6616" s="11"/>
      <c r="F6616" s="9"/>
    </row>
    <row r="6617" s="1" customFormat="1" customHeight="1" spans="1:6">
      <c r="A6617" s="9" t="str">
        <f>"10020522115"</f>
        <v>10020522115</v>
      </c>
      <c r="B6617" s="10">
        <v>46.66</v>
      </c>
      <c r="C6617" s="9"/>
      <c r="D6617" s="9">
        <f t="shared" si="103"/>
        <v>46.66</v>
      </c>
      <c r="E6617" s="11"/>
      <c r="F6617" s="9"/>
    </row>
    <row r="6618" s="1" customFormat="1" customHeight="1" spans="1:6">
      <c r="A6618" s="9" t="str">
        <f>"20270522116"</f>
        <v>20270522116</v>
      </c>
      <c r="B6618" s="10">
        <v>33.07</v>
      </c>
      <c r="C6618" s="9"/>
      <c r="D6618" s="9">
        <f t="shared" si="103"/>
        <v>33.07</v>
      </c>
      <c r="E6618" s="11"/>
      <c r="F6618" s="9"/>
    </row>
    <row r="6619" s="1" customFormat="1" customHeight="1" spans="1:6">
      <c r="A6619" s="9" t="str">
        <f>"10470522117"</f>
        <v>10470522117</v>
      </c>
      <c r="B6619" s="10">
        <v>34.4</v>
      </c>
      <c r="C6619" s="9"/>
      <c r="D6619" s="9">
        <f t="shared" si="103"/>
        <v>34.4</v>
      </c>
      <c r="E6619" s="11"/>
      <c r="F6619" s="9"/>
    </row>
    <row r="6620" s="1" customFormat="1" customHeight="1" spans="1:6">
      <c r="A6620" s="9" t="str">
        <f>"10060522118"</f>
        <v>10060522118</v>
      </c>
      <c r="B6620" s="10">
        <v>43.01</v>
      </c>
      <c r="C6620" s="9"/>
      <c r="D6620" s="9">
        <f t="shared" si="103"/>
        <v>43.01</v>
      </c>
      <c r="E6620" s="11"/>
      <c r="F6620" s="9"/>
    </row>
    <row r="6621" s="1" customFormat="1" customHeight="1" spans="1:6">
      <c r="A6621" s="9" t="str">
        <f>"10430522119"</f>
        <v>10430522119</v>
      </c>
      <c r="B6621" s="10">
        <v>0</v>
      </c>
      <c r="C6621" s="9"/>
      <c r="D6621" s="9">
        <f t="shared" si="103"/>
        <v>0</v>
      </c>
      <c r="E6621" s="11"/>
      <c r="F6621" s="9" t="s">
        <v>7</v>
      </c>
    </row>
    <row r="6622" s="1" customFormat="1" customHeight="1" spans="1:6">
      <c r="A6622" s="9" t="str">
        <f>"10440522120"</f>
        <v>10440522120</v>
      </c>
      <c r="B6622" s="10">
        <v>39.38</v>
      </c>
      <c r="C6622" s="9"/>
      <c r="D6622" s="9">
        <f t="shared" si="103"/>
        <v>39.38</v>
      </c>
      <c r="E6622" s="11"/>
      <c r="F6622" s="9"/>
    </row>
    <row r="6623" s="1" customFormat="1" customHeight="1" spans="1:6">
      <c r="A6623" s="9" t="str">
        <f>"10360522121"</f>
        <v>10360522121</v>
      </c>
      <c r="B6623" s="10">
        <v>0</v>
      </c>
      <c r="C6623" s="9"/>
      <c r="D6623" s="9">
        <f t="shared" si="103"/>
        <v>0</v>
      </c>
      <c r="E6623" s="11"/>
      <c r="F6623" s="9" t="s">
        <v>7</v>
      </c>
    </row>
    <row r="6624" s="1" customFormat="1" customHeight="1" spans="1:6">
      <c r="A6624" s="9" t="str">
        <f>"10080522122"</f>
        <v>10080522122</v>
      </c>
      <c r="B6624" s="10">
        <v>40.76</v>
      </c>
      <c r="C6624" s="9"/>
      <c r="D6624" s="9">
        <f t="shared" si="103"/>
        <v>40.76</v>
      </c>
      <c r="E6624" s="11"/>
      <c r="F6624" s="9"/>
    </row>
    <row r="6625" s="1" customFormat="1" customHeight="1" spans="1:6">
      <c r="A6625" s="9" t="str">
        <f>"10450522123"</f>
        <v>10450522123</v>
      </c>
      <c r="B6625" s="10">
        <v>48.48</v>
      </c>
      <c r="C6625" s="9"/>
      <c r="D6625" s="9">
        <f t="shared" si="103"/>
        <v>48.48</v>
      </c>
      <c r="E6625" s="11"/>
      <c r="F6625" s="9"/>
    </row>
    <row r="6626" s="1" customFormat="1" customHeight="1" spans="1:6">
      <c r="A6626" s="9" t="str">
        <f>"10360522124"</f>
        <v>10360522124</v>
      </c>
      <c r="B6626" s="10">
        <v>38.6</v>
      </c>
      <c r="C6626" s="9"/>
      <c r="D6626" s="9">
        <f t="shared" si="103"/>
        <v>38.6</v>
      </c>
      <c r="E6626" s="11"/>
      <c r="F6626" s="9"/>
    </row>
    <row r="6627" s="1" customFormat="1" customHeight="1" spans="1:6">
      <c r="A6627" s="9" t="str">
        <f>"10530522125"</f>
        <v>10530522125</v>
      </c>
      <c r="B6627" s="10">
        <v>35.89</v>
      </c>
      <c r="C6627" s="9">
        <v>10</v>
      </c>
      <c r="D6627" s="9">
        <f t="shared" si="103"/>
        <v>45.89</v>
      </c>
      <c r="E6627" s="12" t="s">
        <v>8</v>
      </c>
      <c r="F6627" s="9"/>
    </row>
    <row r="6628" s="1" customFormat="1" customHeight="1" spans="1:6">
      <c r="A6628" s="9" t="str">
        <f>"10300522126"</f>
        <v>10300522126</v>
      </c>
      <c r="B6628" s="10">
        <v>38.13</v>
      </c>
      <c r="C6628" s="9"/>
      <c r="D6628" s="9">
        <f t="shared" si="103"/>
        <v>38.13</v>
      </c>
      <c r="E6628" s="11"/>
      <c r="F6628" s="9"/>
    </row>
    <row r="6629" s="1" customFormat="1" customHeight="1" spans="1:6">
      <c r="A6629" s="9" t="str">
        <f>"10530522127"</f>
        <v>10530522127</v>
      </c>
      <c r="B6629" s="10">
        <v>40.92</v>
      </c>
      <c r="C6629" s="9"/>
      <c r="D6629" s="9">
        <f t="shared" si="103"/>
        <v>40.92</v>
      </c>
      <c r="E6629" s="11"/>
      <c r="F6629" s="9"/>
    </row>
    <row r="6630" s="1" customFormat="1" customHeight="1" spans="1:6">
      <c r="A6630" s="9" t="str">
        <f>"10370522128"</f>
        <v>10370522128</v>
      </c>
      <c r="B6630" s="10">
        <v>42.83</v>
      </c>
      <c r="C6630" s="9"/>
      <c r="D6630" s="9">
        <f t="shared" si="103"/>
        <v>42.83</v>
      </c>
      <c r="E6630" s="11"/>
      <c r="F6630" s="9"/>
    </row>
    <row r="6631" s="1" customFormat="1" customHeight="1" spans="1:6">
      <c r="A6631" s="9" t="str">
        <f>"10510522129"</f>
        <v>10510522129</v>
      </c>
      <c r="B6631" s="10">
        <v>52.09</v>
      </c>
      <c r="C6631" s="9"/>
      <c r="D6631" s="9">
        <f t="shared" si="103"/>
        <v>52.09</v>
      </c>
      <c r="E6631" s="11"/>
      <c r="F6631" s="9"/>
    </row>
    <row r="6632" s="1" customFormat="1" customHeight="1" spans="1:6">
      <c r="A6632" s="9" t="str">
        <f>"10360522130"</f>
        <v>10360522130</v>
      </c>
      <c r="B6632" s="10">
        <v>0</v>
      </c>
      <c r="C6632" s="9"/>
      <c r="D6632" s="9">
        <f t="shared" si="103"/>
        <v>0</v>
      </c>
      <c r="E6632" s="11"/>
      <c r="F6632" s="9" t="s">
        <v>7</v>
      </c>
    </row>
    <row r="6633" s="1" customFormat="1" customHeight="1" spans="1:6">
      <c r="A6633" s="9" t="str">
        <f>"10460522201"</f>
        <v>10460522201</v>
      </c>
      <c r="B6633" s="10">
        <v>39.4</v>
      </c>
      <c r="C6633" s="9"/>
      <c r="D6633" s="9">
        <f t="shared" si="103"/>
        <v>39.4</v>
      </c>
      <c r="E6633" s="11"/>
      <c r="F6633" s="9"/>
    </row>
    <row r="6634" s="1" customFormat="1" customHeight="1" spans="1:6">
      <c r="A6634" s="9" t="str">
        <f>"10510522202"</f>
        <v>10510522202</v>
      </c>
      <c r="B6634" s="10">
        <v>38.26</v>
      </c>
      <c r="C6634" s="9"/>
      <c r="D6634" s="9">
        <f t="shared" si="103"/>
        <v>38.26</v>
      </c>
      <c r="E6634" s="11"/>
      <c r="F6634" s="9"/>
    </row>
    <row r="6635" s="1" customFormat="1" customHeight="1" spans="1:6">
      <c r="A6635" s="9" t="str">
        <f>"10060522203"</f>
        <v>10060522203</v>
      </c>
      <c r="B6635" s="10">
        <v>35.82</v>
      </c>
      <c r="C6635" s="9">
        <v>10</v>
      </c>
      <c r="D6635" s="9">
        <f t="shared" si="103"/>
        <v>45.82</v>
      </c>
      <c r="E6635" s="12" t="s">
        <v>8</v>
      </c>
      <c r="F6635" s="9"/>
    </row>
    <row r="6636" s="1" customFormat="1" customHeight="1" spans="1:6">
      <c r="A6636" s="9" t="str">
        <f>"10520522204"</f>
        <v>10520522204</v>
      </c>
      <c r="B6636" s="10">
        <v>41.31</v>
      </c>
      <c r="C6636" s="9"/>
      <c r="D6636" s="9">
        <f t="shared" si="103"/>
        <v>41.31</v>
      </c>
      <c r="E6636" s="11"/>
      <c r="F6636" s="9"/>
    </row>
    <row r="6637" s="1" customFormat="1" customHeight="1" spans="1:6">
      <c r="A6637" s="9" t="str">
        <f>"10360522205"</f>
        <v>10360522205</v>
      </c>
      <c r="B6637" s="10">
        <v>0</v>
      </c>
      <c r="C6637" s="9"/>
      <c r="D6637" s="9">
        <f t="shared" si="103"/>
        <v>0</v>
      </c>
      <c r="E6637" s="11"/>
      <c r="F6637" s="9" t="s">
        <v>7</v>
      </c>
    </row>
    <row r="6638" s="1" customFormat="1" customHeight="1" spans="1:6">
      <c r="A6638" s="9" t="str">
        <f>"10170522206"</f>
        <v>10170522206</v>
      </c>
      <c r="B6638" s="10">
        <v>35.48</v>
      </c>
      <c r="C6638" s="9"/>
      <c r="D6638" s="9">
        <f t="shared" si="103"/>
        <v>35.48</v>
      </c>
      <c r="E6638" s="11"/>
      <c r="F6638" s="9"/>
    </row>
    <row r="6639" s="1" customFormat="1" customHeight="1" spans="1:6">
      <c r="A6639" s="9" t="str">
        <f>"10360522207"</f>
        <v>10360522207</v>
      </c>
      <c r="B6639" s="10">
        <v>0</v>
      </c>
      <c r="C6639" s="9"/>
      <c r="D6639" s="9">
        <f t="shared" si="103"/>
        <v>0</v>
      </c>
      <c r="E6639" s="11"/>
      <c r="F6639" s="9" t="s">
        <v>7</v>
      </c>
    </row>
    <row r="6640" s="1" customFormat="1" customHeight="1" spans="1:6">
      <c r="A6640" s="9" t="str">
        <f>"10140522208"</f>
        <v>10140522208</v>
      </c>
      <c r="B6640" s="10">
        <v>40.77</v>
      </c>
      <c r="C6640" s="9"/>
      <c r="D6640" s="9">
        <f t="shared" si="103"/>
        <v>40.77</v>
      </c>
      <c r="E6640" s="11"/>
      <c r="F6640" s="9"/>
    </row>
    <row r="6641" s="1" customFormat="1" customHeight="1" spans="1:6">
      <c r="A6641" s="9" t="str">
        <f>"10110522209"</f>
        <v>10110522209</v>
      </c>
      <c r="B6641" s="10">
        <v>39.35</v>
      </c>
      <c r="C6641" s="9"/>
      <c r="D6641" s="9">
        <f t="shared" si="103"/>
        <v>39.35</v>
      </c>
      <c r="E6641" s="11"/>
      <c r="F6641" s="9"/>
    </row>
    <row r="6642" s="1" customFormat="1" customHeight="1" spans="1:6">
      <c r="A6642" s="9" t="str">
        <f>"10060522210"</f>
        <v>10060522210</v>
      </c>
      <c r="B6642" s="10">
        <v>39.43</v>
      </c>
      <c r="C6642" s="9"/>
      <c r="D6642" s="9">
        <f t="shared" si="103"/>
        <v>39.43</v>
      </c>
      <c r="E6642" s="11"/>
      <c r="F6642" s="9"/>
    </row>
    <row r="6643" s="1" customFormat="1" customHeight="1" spans="1:6">
      <c r="A6643" s="9" t="str">
        <f>"10490522211"</f>
        <v>10490522211</v>
      </c>
      <c r="B6643" s="10">
        <v>39.29</v>
      </c>
      <c r="C6643" s="9"/>
      <c r="D6643" s="9">
        <f t="shared" si="103"/>
        <v>39.29</v>
      </c>
      <c r="E6643" s="11"/>
      <c r="F6643" s="9"/>
    </row>
    <row r="6644" s="1" customFormat="1" customHeight="1" spans="1:6">
      <c r="A6644" s="9" t="str">
        <f>"10500522212"</f>
        <v>10500522212</v>
      </c>
      <c r="B6644" s="10">
        <v>0</v>
      </c>
      <c r="C6644" s="9"/>
      <c r="D6644" s="9">
        <f t="shared" si="103"/>
        <v>0</v>
      </c>
      <c r="E6644" s="11"/>
      <c r="F6644" s="9" t="s">
        <v>7</v>
      </c>
    </row>
    <row r="6645" s="1" customFormat="1" customHeight="1" spans="1:6">
      <c r="A6645" s="9" t="str">
        <f>"20270522213"</f>
        <v>20270522213</v>
      </c>
      <c r="B6645" s="10">
        <v>46.8</v>
      </c>
      <c r="C6645" s="9"/>
      <c r="D6645" s="9">
        <f t="shared" si="103"/>
        <v>46.8</v>
      </c>
      <c r="E6645" s="11"/>
      <c r="F6645" s="9"/>
    </row>
    <row r="6646" s="1" customFormat="1" customHeight="1" spans="1:6">
      <c r="A6646" s="9" t="str">
        <f>"10440522214"</f>
        <v>10440522214</v>
      </c>
      <c r="B6646" s="10">
        <v>44.79</v>
      </c>
      <c r="C6646" s="9"/>
      <c r="D6646" s="9">
        <f t="shared" si="103"/>
        <v>44.79</v>
      </c>
      <c r="E6646" s="11"/>
      <c r="F6646" s="9"/>
    </row>
    <row r="6647" s="1" customFormat="1" customHeight="1" spans="1:6">
      <c r="A6647" s="9" t="str">
        <f>"10430522215"</f>
        <v>10430522215</v>
      </c>
      <c r="B6647" s="10">
        <v>36.66</v>
      </c>
      <c r="C6647" s="9"/>
      <c r="D6647" s="9">
        <f t="shared" si="103"/>
        <v>36.66</v>
      </c>
      <c r="E6647" s="11"/>
      <c r="F6647" s="9"/>
    </row>
    <row r="6648" s="1" customFormat="1" customHeight="1" spans="1:6">
      <c r="A6648" s="9" t="str">
        <f>"10420522216"</f>
        <v>10420522216</v>
      </c>
      <c r="B6648" s="10">
        <v>41.47</v>
      </c>
      <c r="C6648" s="9"/>
      <c r="D6648" s="9">
        <f t="shared" si="103"/>
        <v>41.47</v>
      </c>
      <c r="E6648" s="11"/>
      <c r="F6648" s="9"/>
    </row>
    <row r="6649" s="1" customFormat="1" customHeight="1" spans="1:6">
      <c r="A6649" s="9" t="str">
        <f>"10290522217"</f>
        <v>10290522217</v>
      </c>
      <c r="B6649" s="10">
        <v>0</v>
      </c>
      <c r="C6649" s="9"/>
      <c r="D6649" s="9">
        <f t="shared" si="103"/>
        <v>0</v>
      </c>
      <c r="E6649" s="11"/>
      <c r="F6649" s="9" t="s">
        <v>7</v>
      </c>
    </row>
    <row r="6650" s="1" customFormat="1" customHeight="1" spans="1:6">
      <c r="A6650" s="9" t="str">
        <f>"10080522218"</f>
        <v>10080522218</v>
      </c>
      <c r="B6650" s="10">
        <v>39.29</v>
      </c>
      <c r="C6650" s="9"/>
      <c r="D6650" s="9">
        <f t="shared" si="103"/>
        <v>39.29</v>
      </c>
      <c r="E6650" s="11"/>
      <c r="F6650" s="9"/>
    </row>
    <row r="6651" s="1" customFormat="1" customHeight="1" spans="1:6">
      <c r="A6651" s="9" t="str">
        <f>"10520522219"</f>
        <v>10520522219</v>
      </c>
      <c r="B6651" s="10">
        <v>0</v>
      </c>
      <c r="C6651" s="9"/>
      <c r="D6651" s="9">
        <f t="shared" si="103"/>
        <v>0</v>
      </c>
      <c r="E6651" s="11"/>
      <c r="F6651" s="9" t="s">
        <v>7</v>
      </c>
    </row>
    <row r="6652" s="1" customFormat="1" customHeight="1" spans="1:6">
      <c r="A6652" s="9" t="str">
        <f>"10460522220"</f>
        <v>10460522220</v>
      </c>
      <c r="B6652" s="10">
        <v>41.58</v>
      </c>
      <c r="C6652" s="9"/>
      <c r="D6652" s="9">
        <f t="shared" si="103"/>
        <v>41.58</v>
      </c>
      <c r="E6652" s="11"/>
      <c r="F6652" s="9"/>
    </row>
    <row r="6653" s="1" customFormat="1" customHeight="1" spans="1:6">
      <c r="A6653" s="9" t="str">
        <f>"10350522221"</f>
        <v>10350522221</v>
      </c>
      <c r="B6653" s="10">
        <v>42.52</v>
      </c>
      <c r="C6653" s="9"/>
      <c r="D6653" s="9">
        <f t="shared" si="103"/>
        <v>42.52</v>
      </c>
      <c r="E6653" s="11"/>
      <c r="F6653" s="9"/>
    </row>
    <row r="6654" s="1" customFormat="1" customHeight="1" spans="1:6">
      <c r="A6654" s="9" t="str">
        <f>"10290522222"</f>
        <v>10290522222</v>
      </c>
      <c r="B6654" s="10">
        <v>43.81</v>
      </c>
      <c r="C6654" s="9"/>
      <c r="D6654" s="9">
        <f t="shared" si="103"/>
        <v>43.81</v>
      </c>
      <c r="E6654" s="11"/>
      <c r="F6654" s="9"/>
    </row>
    <row r="6655" s="1" customFormat="1" customHeight="1" spans="1:6">
      <c r="A6655" s="9" t="str">
        <f>"10520522223"</f>
        <v>10520522223</v>
      </c>
      <c r="B6655" s="10">
        <v>0</v>
      </c>
      <c r="C6655" s="9"/>
      <c r="D6655" s="9">
        <f t="shared" si="103"/>
        <v>0</v>
      </c>
      <c r="E6655" s="11"/>
      <c r="F6655" s="9" t="s">
        <v>7</v>
      </c>
    </row>
    <row r="6656" s="1" customFormat="1" customHeight="1" spans="1:6">
      <c r="A6656" s="9" t="str">
        <f>"10240522224"</f>
        <v>10240522224</v>
      </c>
      <c r="B6656" s="10">
        <v>40.1</v>
      </c>
      <c r="C6656" s="9"/>
      <c r="D6656" s="9">
        <f t="shared" si="103"/>
        <v>40.1</v>
      </c>
      <c r="E6656" s="11"/>
      <c r="F6656" s="9"/>
    </row>
    <row r="6657" s="1" customFormat="1" customHeight="1" spans="1:6">
      <c r="A6657" s="9" t="str">
        <f>"10510522225"</f>
        <v>10510522225</v>
      </c>
      <c r="B6657" s="10">
        <v>0</v>
      </c>
      <c r="C6657" s="9"/>
      <c r="D6657" s="9">
        <f t="shared" si="103"/>
        <v>0</v>
      </c>
      <c r="E6657" s="11"/>
      <c r="F6657" s="9" t="s">
        <v>7</v>
      </c>
    </row>
    <row r="6658" s="1" customFormat="1" customHeight="1" spans="1:6">
      <c r="A6658" s="9" t="str">
        <f>"10170522226"</f>
        <v>10170522226</v>
      </c>
      <c r="B6658" s="10">
        <v>52.03</v>
      </c>
      <c r="C6658" s="9"/>
      <c r="D6658" s="9">
        <f t="shared" si="103"/>
        <v>52.03</v>
      </c>
      <c r="E6658" s="11"/>
      <c r="F6658" s="9"/>
    </row>
    <row r="6659" s="1" customFormat="1" customHeight="1" spans="1:6">
      <c r="A6659" s="9" t="str">
        <f>"10300522227"</f>
        <v>10300522227</v>
      </c>
      <c r="B6659" s="10">
        <v>36.63</v>
      </c>
      <c r="C6659" s="9"/>
      <c r="D6659" s="9">
        <f t="shared" ref="D6659:D6722" si="104">SUM(B6659:C6659)</f>
        <v>36.63</v>
      </c>
      <c r="E6659" s="11"/>
      <c r="F6659" s="9"/>
    </row>
    <row r="6660" s="1" customFormat="1" customHeight="1" spans="1:6">
      <c r="A6660" s="9" t="str">
        <f>"10270522228"</f>
        <v>10270522228</v>
      </c>
      <c r="B6660" s="10">
        <v>0</v>
      </c>
      <c r="C6660" s="9"/>
      <c r="D6660" s="9">
        <f t="shared" si="104"/>
        <v>0</v>
      </c>
      <c r="E6660" s="11"/>
      <c r="F6660" s="9" t="s">
        <v>7</v>
      </c>
    </row>
    <row r="6661" s="1" customFormat="1" customHeight="1" spans="1:6">
      <c r="A6661" s="9" t="str">
        <f>"10090522229"</f>
        <v>10090522229</v>
      </c>
      <c r="B6661" s="10">
        <v>0</v>
      </c>
      <c r="C6661" s="9"/>
      <c r="D6661" s="9">
        <f t="shared" si="104"/>
        <v>0</v>
      </c>
      <c r="E6661" s="11"/>
      <c r="F6661" s="9" t="s">
        <v>7</v>
      </c>
    </row>
    <row r="6662" s="1" customFormat="1" customHeight="1" spans="1:6">
      <c r="A6662" s="9" t="str">
        <f>"10200522230"</f>
        <v>10200522230</v>
      </c>
      <c r="B6662" s="10">
        <v>0</v>
      </c>
      <c r="C6662" s="9"/>
      <c r="D6662" s="9">
        <f t="shared" si="104"/>
        <v>0</v>
      </c>
      <c r="E6662" s="11"/>
      <c r="F6662" s="9" t="s">
        <v>7</v>
      </c>
    </row>
    <row r="6663" s="1" customFormat="1" customHeight="1" spans="1:6">
      <c r="A6663" s="9" t="str">
        <f>"10440522301"</f>
        <v>10440522301</v>
      </c>
      <c r="B6663" s="10">
        <v>0</v>
      </c>
      <c r="C6663" s="9"/>
      <c r="D6663" s="9">
        <f t="shared" si="104"/>
        <v>0</v>
      </c>
      <c r="E6663" s="11"/>
      <c r="F6663" s="9" t="s">
        <v>7</v>
      </c>
    </row>
    <row r="6664" s="1" customFormat="1" customHeight="1" spans="1:6">
      <c r="A6664" s="9" t="str">
        <f>"10060522302"</f>
        <v>10060522302</v>
      </c>
      <c r="B6664" s="10">
        <v>41.59</v>
      </c>
      <c r="C6664" s="9"/>
      <c r="D6664" s="9">
        <f t="shared" si="104"/>
        <v>41.59</v>
      </c>
      <c r="E6664" s="11"/>
      <c r="F6664" s="9"/>
    </row>
    <row r="6665" s="1" customFormat="1" customHeight="1" spans="1:6">
      <c r="A6665" s="9" t="str">
        <f>"10360522303"</f>
        <v>10360522303</v>
      </c>
      <c r="B6665" s="10">
        <v>44.61</v>
      </c>
      <c r="C6665" s="9"/>
      <c r="D6665" s="9">
        <f t="shared" si="104"/>
        <v>44.61</v>
      </c>
      <c r="E6665" s="11"/>
      <c r="F6665" s="9"/>
    </row>
    <row r="6666" s="1" customFormat="1" customHeight="1" spans="1:6">
      <c r="A6666" s="9" t="str">
        <f>"10340522304"</f>
        <v>10340522304</v>
      </c>
      <c r="B6666" s="10">
        <v>40.45</v>
      </c>
      <c r="C6666" s="9"/>
      <c r="D6666" s="9">
        <f t="shared" si="104"/>
        <v>40.45</v>
      </c>
      <c r="E6666" s="11"/>
      <c r="F6666" s="9"/>
    </row>
    <row r="6667" s="1" customFormat="1" customHeight="1" spans="1:6">
      <c r="A6667" s="9" t="str">
        <f>"10360522305"</f>
        <v>10360522305</v>
      </c>
      <c r="B6667" s="10">
        <v>0</v>
      </c>
      <c r="C6667" s="9"/>
      <c r="D6667" s="9">
        <f t="shared" si="104"/>
        <v>0</v>
      </c>
      <c r="E6667" s="11"/>
      <c r="F6667" s="9" t="s">
        <v>7</v>
      </c>
    </row>
    <row r="6668" s="1" customFormat="1" customHeight="1" spans="1:6">
      <c r="A6668" s="9" t="str">
        <f>"10020522306"</f>
        <v>10020522306</v>
      </c>
      <c r="B6668" s="10">
        <v>40.88</v>
      </c>
      <c r="C6668" s="9"/>
      <c r="D6668" s="9">
        <f t="shared" si="104"/>
        <v>40.88</v>
      </c>
      <c r="E6668" s="11"/>
      <c r="F6668" s="9"/>
    </row>
    <row r="6669" s="1" customFormat="1" customHeight="1" spans="1:6">
      <c r="A6669" s="9" t="str">
        <f>"10360522307"</f>
        <v>10360522307</v>
      </c>
      <c r="B6669" s="10">
        <v>40.55</v>
      </c>
      <c r="C6669" s="9"/>
      <c r="D6669" s="9">
        <f t="shared" si="104"/>
        <v>40.55</v>
      </c>
      <c r="E6669" s="11"/>
      <c r="F6669" s="9"/>
    </row>
    <row r="6670" s="1" customFormat="1" customHeight="1" spans="1:6">
      <c r="A6670" s="9" t="str">
        <f>"10130522308"</f>
        <v>10130522308</v>
      </c>
      <c r="B6670" s="10">
        <v>0</v>
      </c>
      <c r="C6670" s="9"/>
      <c r="D6670" s="9">
        <f t="shared" si="104"/>
        <v>0</v>
      </c>
      <c r="E6670" s="11"/>
      <c r="F6670" s="9" t="s">
        <v>7</v>
      </c>
    </row>
    <row r="6671" s="1" customFormat="1" customHeight="1" spans="1:6">
      <c r="A6671" s="9" t="str">
        <f>"10440522309"</f>
        <v>10440522309</v>
      </c>
      <c r="B6671" s="10">
        <v>48.79</v>
      </c>
      <c r="C6671" s="9"/>
      <c r="D6671" s="9">
        <f t="shared" si="104"/>
        <v>48.79</v>
      </c>
      <c r="E6671" s="11"/>
      <c r="F6671" s="9"/>
    </row>
    <row r="6672" s="1" customFormat="1" customHeight="1" spans="1:6">
      <c r="A6672" s="9" t="str">
        <f>"10020522310"</f>
        <v>10020522310</v>
      </c>
      <c r="B6672" s="10">
        <v>43.48</v>
      </c>
      <c r="C6672" s="9"/>
      <c r="D6672" s="9">
        <f t="shared" si="104"/>
        <v>43.48</v>
      </c>
      <c r="E6672" s="11"/>
      <c r="F6672" s="9"/>
    </row>
    <row r="6673" s="1" customFormat="1" customHeight="1" spans="1:6">
      <c r="A6673" s="9" t="str">
        <f>"10530522311"</f>
        <v>10530522311</v>
      </c>
      <c r="B6673" s="10">
        <v>34.51</v>
      </c>
      <c r="C6673" s="9"/>
      <c r="D6673" s="9">
        <f t="shared" si="104"/>
        <v>34.51</v>
      </c>
      <c r="E6673" s="11"/>
      <c r="F6673" s="9"/>
    </row>
    <row r="6674" s="1" customFormat="1" customHeight="1" spans="1:6">
      <c r="A6674" s="9" t="str">
        <f>"10340522312"</f>
        <v>10340522312</v>
      </c>
      <c r="B6674" s="10">
        <v>43.79</v>
      </c>
      <c r="C6674" s="9"/>
      <c r="D6674" s="9">
        <f t="shared" si="104"/>
        <v>43.79</v>
      </c>
      <c r="E6674" s="11"/>
      <c r="F6674" s="9"/>
    </row>
    <row r="6675" s="1" customFormat="1" customHeight="1" spans="1:6">
      <c r="A6675" s="9" t="str">
        <f>"10360522313"</f>
        <v>10360522313</v>
      </c>
      <c r="B6675" s="10">
        <v>36.33</v>
      </c>
      <c r="C6675" s="9"/>
      <c r="D6675" s="9">
        <f t="shared" si="104"/>
        <v>36.33</v>
      </c>
      <c r="E6675" s="11"/>
      <c r="F6675" s="9"/>
    </row>
    <row r="6676" s="1" customFormat="1" customHeight="1" spans="1:6">
      <c r="A6676" s="9" t="str">
        <f>"20270522314"</f>
        <v>20270522314</v>
      </c>
      <c r="B6676" s="10">
        <v>30.13</v>
      </c>
      <c r="C6676" s="9"/>
      <c r="D6676" s="9">
        <f t="shared" si="104"/>
        <v>30.13</v>
      </c>
      <c r="E6676" s="11"/>
      <c r="F6676" s="9"/>
    </row>
    <row r="6677" s="1" customFormat="1" customHeight="1" spans="1:6">
      <c r="A6677" s="9" t="str">
        <f>"10330522315"</f>
        <v>10330522315</v>
      </c>
      <c r="B6677" s="10">
        <v>40.6</v>
      </c>
      <c r="C6677" s="9">
        <v>10</v>
      </c>
      <c r="D6677" s="9">
        <f t="shared" si="104"/>
        <v>50.6</v>
      </c>
      <c r="E6677" s="12" t="s">
        <v>8</v>
      </c>
      <c r="F6677" s="9"/>
    </row>
    <row r="6678" s="1" customFormat="1" customHeight="1" spans="1:6">
      <c r="A6678" s="9" t="str">
        <f>"10170522316"</f>
        <v>10170522316</v>
      </c>
      <c r="B6678" s="10">
        <v>0</v>
      </c>
      <c r="C6678" s="9"/>
      <c r="D6678" s="9">
        <f t="shared" si="104"/>
        <v>0</v>
      </c>
      <c r="E6678" s="11"/>
      <c r="F6678" s="9" t="s">
        <v>7</v>
      </c>
    </row>
    <row r="6679" s="1" customFormat="1" customHeight="1" spans="1:6">
      <c r="A6679" s="9" t="str">
        <f>"10490522317"</f>
        <v>10490522317</v>
      </c>
      <c r="B6679" s="10">
        <v>33.75</v>
      </c>
      <c r="C6679" s="9"/>
      <c r="D6679" s="9">
        <f t="shared" si="104"/>
        <v>33.75</v>
      </c>
      <c r="E6679" s="11"/>
      <c r="F6679" s="9"/>
    </row>
    <row r="6680" s="1" customFormat="1" customHeight="1" spans="1:6">
      <c r="A6680" s="9" t="str">
        <f>"20270522318"</f>
        <v>20270522318</v>
      </c>
      <c r="B6680" s="10">
        <v>38.72</v>
      </c>
      <c r="C6680" s="9"/>
      <c r="D6680" s="9">
        <f t="shared" si="104"/>
        <v>38.72</v>
      </c>
      <c r="E6680" s="11"/>
      <c r="F6680" s="9"/>
    </row>
    <row r="6681" s="1" customFormat="1" customHeight="1" spans="1:6">
      <c r="A6681" s="9" t="str">
        <f>"10360522319"</f>
        <v>10360522319</v>
      </c>
      <c r="B6681" s="10">
        <v>0</v>
      </c>
      <c r="C6681" s="9"/>
      <c r="D6681" s="9">
        <f t="shared" si="104"/>
        <v>0</v>
      </c>
      <c r="E6681" s="11"/>
      <c r="F6681" s="9" t="s">
        <v>7</v>
      </c>
    </row>
    <row r="6682" s="1" customFormat="1" customHeight="1" spans="1:6">
      <c r="A6682" s="9" t="str">
        <f>"10240522320"</f>
        <v>10240522320</v>
      </c>
      <c r="B6682" s="10">
        <v>46.6</v>
      </c>
      <c r="C6682" s="9"/>
      <c r="D6682" s="9">
        <f t="shared" si="104"/>
        <v>46.6</v>
      </c>
      <c r="E6682" s="11"/>
      <c r="F6682" s="9"/>
    </row>
    <row r="6683" s="1" customFormat="1" customHeight="1" spans="1:6">
      <c r="A6683" s="9" t="str">
        <f>"10130522321"</f>
        <v>10130522321</v>
      </c>
      <c r="B6683" s="10">
        <v>40.67</v>
      </c>
      <c r="C6683" s="9"/>
      <c r="D6683" s="9">
        <f t="shared" si="104"/>
        <v>40.67</v>
      </c>
      <c r="E6683" s="11"/>
      <c r="F6683" s="9"/>
    </row>
    <row r="6684" s="1" customFormat="1" customHeight="1" spans="1:6">
      <c r="A6684" s="9" t="str">
        <f>"10240522322"</f>
        <v>10240522322</v>
      </c>
      <c r="B6684" s="10">
        <v>38.99</v>
      </c>
      <c r="C6684" s="9"/>
      <c r="D6684" s="9">
        <f t="shared" si="104"/>
        <v>38.99</v>
      </c>
      <c r="E6684" s="11"/>
      <c r="F6684" s="9"/>
    </row>
    <row r="6685" s="1" customFormat="1" customHeight="1" spans="1:6">
      <c r="A6685" s="9" t="str">
        <f>"10360522323"</f>
        <v>10360522323</v>
      </c>
      <c r="B6685" s="10">
        <v>46.76</v>
      </c>
      <c r="C6685" s="9"/>
      <c r="D6685" s="9">
        <f t="shared" si="104"/>
        <v>46.76</v>
      </c>
      <c r="E6685" s="11"/>
      <c r="F6685" s="9"/>
    </row>
    <row r="6686" s="1" customFormat="1" customHeight="1" spans="1:6">
      <c r="A6686" s="9" t="str">
        <f>"10020522324"</f>
        <v>10020522324</v>
      </c>
      <c r="B6686" s="10">
        <v>36.79</v>
      </c>
      <c r="C6686" s="9"/>
      <c r="D6686" s="9">
        <f t="shared" si="104"/>
        <v>36.79</v>
      </c>
      <c r="E6686" s="11"/>
      <c r="F6686" s="9"/>
    </row>
    <row r="6687" s="1" customFormat="1" customHeight="1" spans="1:6">
      <c r="A6687" s="9" t="str">
        <f>"10110522325"</f>
        <v>10110522325</v>
      </c>
      <c r="B6687" s="10">
        <v>0</v>
      </c>
      <c r="C6687" s="9"/>
      <c r="D6687" s="9">
        <f t="shared" si="104"/>
        <v>0</v>
      </c>
      <c r="E6687" s="11"/>
      <c r="F6687" s="9" t="s">
        <v>7</v>
      </c>
    </row>
    <row r="6688" s="1" customFormat="1" customHeight="1" spans="1:6">
      <c r="A6688" s="9" t="str">
        <f>"10360522326"</f>
        <v>10360522326</v>
      </c>
      <c r="B6688" s="10">
        <v>38.67</v>
      </c>
      <c r="C6688" s="9"/>
      <c r="D6688" s="9">
        <f t="shared" si="104"/>
        <v>38.67</v>
      </c>
      <c r="E6688" s="11"/>
      <c r="F6688" s="9"/>
    </row>
    <row r="6689" s="1" customFormat="1" customHeight="1" spans="1:6">
      <c r="A6689" s="9" t="str">
        <f>"10160522327"</f>
        <v>10160522327</v>
      </c>
      <c r="B6689" s="10">
        <v>35.14</v>
      </c>
      <c r="C6689" s="9"/>
      <c r="D6689" s="9">
        <f t="shared" si="104"/>
        <v>35.14</v>
      </c>
      <c r="E6689" s="11"/>
      <c r="F6689" s="9"/>
    </row>
    <row r="6690" s="1" customFormat="1" customHeight="1" spans="1:6">
      <c r="A6690" s="9" t="str">
        <f>"10360522328"</f>
        <v>10360522328</v>
      </c>
      <c r="B6690" s="10">
        <v>0</v>
      </c>
      <c r="C6690" s="9"/>
      <c r="D6690" s="9">
        <f t="shared" si="104"/>
        <v>0</v>
      </c>
      <c r="E6690" s="11"/>
      <c r="F6690" s="9" t="s">
        <v>7</v>
      </c>
    </row>
    <row r="6691" s="1" customFormat="1" customHeight="1" spans="1:6">
      <c r="A6691" s="9" t="str">
        <f>"10410522329"</f>
        <v>10410522329</v>
      </c>
      <c r="B6691" s="10">
        <v>42.71</v>
      </c>
      <c r="C6691" s="9"/>
      <c r="D6691" s="9">
        <f t="shared" si="104"/>
        <v>42.71</v>
      </c>
      <c r="E6691" s="11"/>
      <c r="F6691" s="9"/>
    </row>
    <row r="6692" s="1" customFormat="1" customHeight="1" spans="1:6">
      <c r="A6692" s="9" t="str">
        <f>"10060522330"</f>
        <v>10060522330</v>
      </c>
      <c r="B6692" s="10">
        <v>43.65</v>
      </c>
      <c r="C6692" s="9"/>
      <c r="D6692" s="9">
        <f t="shared" si="104"/>
        <v>43.65</v>
      </c>
      <c r="E6692" s="11"/>
      <c r="F6692" s="9"/>
    </row>
    <row r="6693" s="1" customFormat="1" customHeight="1" spans="1:6">
      <c r="A6693" s="9" t="str">
        <f>"10360522401"</f>
        <v>10360522401</v>
      </c>
      <c r="B6693" s="10">
        <v>33.74</v>
      </c>
      <c r="C6693" s="9"/>
      <c r="D6693" s="9">
        <f t="shared" si="104"/>
        <v>33.74</v>
      </c>
      <c r="E6693" s="11"/>
      <c r="F6693" s="9"/>
    </row>
    <row r="6694" s="1" customFormat="1" customHeight="1" spans="1:6">
      <c r="A6694" s="9" t="str">
        <f>"10100522402"</f>
        <v>10100522402</v>
      </c>
      <c r="B6694" s="10">
        <v>35.35</v>
      </c>
      <c r="C6694" s="9"/>
      <c r="D6694" s="9">
        <f t="shared" si="104"/>
        <v>35.35</v>
      </c>
      <c r="E6694" s="11"/>
      <c r="F6694" s="9"/>
    </row>
    <row r="6695" s="1" customFormat="1" customHeight="1" spans="1:6">
      <c r="A6695" s="9" t="str">
        <f>"10090522403"</f>
        <v>10090522403</v>
      </c>
      <c r="B6695" s="10">
        <v>0</v>
      </c>
      <c r="C6695" s="9"/>
      <c r="D6695" s="9">
        <f t="shared" si="104"/>
        <v>0</v>
      </c>
      <c r="E6695" s="11"/>
      <c r="F6695" s="9" t="s">
        <v>7</v>
      </c>
    </row>
    <row r="6696" s="1" customFormat="1" customHeight="1" spans="1:6">
      <c r="A6696" s="9" t="str">
        <f>"10360522404"</f>
        <v>10360522404</v>
      </c>
      <c r="B6696" s="10">
        <v>47.15</v>
      </c>
      <c r="C6696" s="9"/>
      <c r="D6696" s="9">
        <f t="shared" si="104"/>
        <v>47.15</v>
      </c>
      <c r="E6696" s="11"/>
      <c r="F6696" s="9"/>
    </row>
    <row r="6697" s="1" customFormat="1" customHeight="1" spans="1:6">
      <c r="A6697" s="9" t="str">
        <f>"10400522405"</f>
        <v>10400522405</v>
      </c>
      <c r="B6697" s="10">
        <v>0</v>
      </c>
      <c r="C6697" s="9"/>
      <c r="D6697" s="9">
        <f t="shared" si="104"/>
        <v>0</v>
      </c>
      <c r="E6697" s="11"/>
      <c r="F6697" s="9" t="s">
        <v>7</v>
      </c>
    </row>
    <row r="6698" s="1" customFormat="1" customHeight="1" spans="1:6">
      <c r="A6698" s="9" t="str">
        <f>"10300522406"</f>
        <v>10300522406</v>
      </c>
      <c r="B6698" s="10">
        <v>42.62</v>
      </c>
      <c r="C6698" s="9"/>
      <c r="D6698" s="9">
        <f t="shared" si="104"/>
        <v>42.62</v>
      </c>
      <c r="E6698" s="11"/>
      <c r="F6698" s="9"/>
    </row>
    <row r="6699" s="1" customFormat="1" customHeight="1" spans="1:6">
      <c r="A6699" s="9" t="str">
        <f>"10470522407"</f>
        <v>10470522407</v>
      </c>
      <c r="B6699" s="10">
        <v>38.68</v>
      </c>
      <c r="C6699" s="9"/>
      <c r="D6699" s="9">
        <f t="shared" si="104"/>
        <v>38.68</v>
      </c>
      <c r="E6699" s="11"/>
      <c r="F6699" s="9"/>
    </row>
    <row r="6700" s="1" customFormat="1" customHeight="1" spans="1:6">
      <c r="A6700" s="9" t="str">
        <f>"10210522408"</f>
        <v>10210522408</v>
      </c>
      <c r="B6700" s="10">
        <v>36.6</v>
      </c>
      <c r="C6700" s="9"/>
      <c r="D6700" s="9">
        <f t="shared" si="104"/>
        <v>36.6</v>
      </c>
      <c r="E6700" s="11"/>
      <c r="F6700" s="9"/>
    </row>
    <row r="6701" s="1" customFormat="1" customHeight="1" spans="1:6">
      <c r="A6701" s="9" t="str">
        <f>"10060522409"</f>
        <v>10060522409</v>
      </c>
      <c r="B6701" s="10">
        <v>0</v>
      </c>
      <c r="C6701" s="9"/>
      <c r="D6701" s="9">
        <f t="shared" si="104"/>
        <v>0</v>
      </c>
      <c r="E6701" s="11"/>
      <c r="F6701" s="9" t="s">
        <v>7</v>
      </c>
    </row>
    <row r="6702" s="1" customFormat="1" customHeight="1" spans="1:6">
      <c r="A6702" s="9" t="str">
        <f>"10330522410"</f>
        <v>10330522410</v>
      </c>
      <c r="B6702" s="10">
        <v>0</v>
      </c>
      <c r="C6702" s="9"/>
      <c r="D6702" s="9">
        <f t="shared" si="104"/>
        <v>0</v>
      </c>
      <c r="E6702" s="11"/>
      <c r="F6702" s="9" t="s">
        <v>7</v>
      </c>
    </row>
    <row r="6703" s="1" customFormat="1" customHeight="1" spans="1:6">
      <c r="A6703" s="9" t="str">
        <f>"10360522411"</f>
        <v>10360522411</v>
      </c>
      <c r="B6703" s="10">
        <v>46.74</v>
      </c>
      <c r="C6703" s="9"/>
      <c r="D6703" s="9">
        <f t="shared" si="104"/>
        <v>46.74</v>
      </c>
      <c r="E6703" s="11"/>
      <c r="F6703" s="9"/>
    </row>
    <row r="6704" s="1" customFormat="1" customHeight="1" spans="1:6">
      <c r="A6704" s="9" t="str">
        <f>"10360522412"</f>
        <v>10360522412</v>
      </c>
      <c r="B6704" s="10">
        <v>42.27</v>
      </c>
      <c r="C6704" s="9"/>
      <c r="D6704" s="9">
        <f t="shared" si="104"/>
        <v>42.27</v>
      </c>
      <c r="E6704" s="11"/>
      <c r="F6704" s="9"/>
    </row>
    <row r="6705" s="1" customFormat="1" customHeight="1" spans="1:6">
      <c r="A6705" s="9" t="str">
        <f>"10330522413"</f>
        <v>10330522413</v>
      </c>
      <c r="B6705" s="10">
        <v>38.75</v>
      </c>
      <c r="C6705" s="9"/>
      <c r="D6705" s="9">
        <f t="shared" si="104"/>
        <v>38.75</v>
      </c>
      <c r="E6705" s="11"/>
      <c r="F6705" s="9"/>
    </row>
    <row r="6706" s="1" customFormat="1" customHeight="1" spans="1:6">
      <c r="A6706" s="9" t="str">
        <f>"10110522414"</f>
        <v>10110522414</v>
      </c>
      <c r="B6706" s="10">
        <v>0</v>
      </c>
      <c r="C6706" s="9"/>
      <c r="D6706" s="9">
        <f t="shared" si="104"/>
        <v>0</v>
      </c>
      <c r="E6706" s="11"/>
      <c r="F6706" s="9" t="s">
        <v>7</v>
      </c>
    </row>
    <row r="6707" s="1" customFormat="1" customHeight="1" spans="1:6">
      <c r="A6707" s="9" t="str">
        <f>"10260522415"</f>
        <v>10260522415</v>
      </c>
      <c r="B6707" s="10">
        <v>43.6</v>
      </c>
      <c r="C6707" s="9"/>
      <c r="D6707" s="9">
        <f t="shared" si="104"/>
        <v>43.6</v>
      </c>
      <c r="E6707" s="11"/>
      <c r="F6707" s="9"/>
    </row>
    <row r="6708" s="1" customFormat="1" customHeight="1" spans="1:6">
      <c r="A6708" s="9" t="str">
        <f>"10300522416"</f>
        <v>10300522416</v>
      </c>
      <c r="B6708" s="10">
        <v>31.31</v>
      </c>
      <c r="C6708" s="9"/>
      <c r="D6708" s="9">
        <f t="shared" si="104"/>
        <v>31.31</v>
      </c>
      <c r="E6708" s="11"/>
      <c r="F6708" s="9"/>
    </row>
    <row r="6709" s="1" customFormat="1" customHeight="1" spans="1:6">
      <c r="A6709" s="9" t="str">
        <f>"10430522417"</f>
        <v>10430522417</v>
      </c>
      <c r="B6709" s="10">
        <v>0</v>
      </c>
      <c r="C6709" s="9"/>
      <c r="D6709" s="9">
        <f t="shared" si="104"/>
        <v>0</v>
      </c>
      <c r="E6709" s="11"/>
      <c r="F6709" s="9" t="s">
        <v>7</v>
      </c>
    </row>
    <row r="6710" s="1" customFormat="1" customHeight="1" spans="1:6">
      <c r="A6710" s="9" t="str">
        <f>"10160522418"</f>
        <v>10160522418</v>
      </c>
      <c r="B6710" s="10">
        <v>0</v>
      </c>
      <c r="C6710" s="9"/>
      <c r="D6710" s="9">
        <f t="shared" si="104"/>
        <v>0</v>
      </c>
      <c r="E6710" s="11"/>
      <c r="F6710" s="9" t="s">
        <v>7</v>
      </c>
    </row>
    <row r="6711" s="1" customFormat="1" customHeight="1" spans="1:6">
      <c r="A6711" s="9" t="str">
        <f>"10330522419"</f>
        <v>10330522419</v>
      </c>
      <c r="B6711" s="10">
        <v>45.11</v>
      </c>
      <c r="C6711" s="9"/>
      <c r="D6711" s="9">
        <f t="shared" si="104"/>
        <v>45.11</v>
      </c>
      <c r="E6711" s="11"/>
      <c r="F6711" s="9"/>
    </row>
    <row r="6712" s="1" customFormat="1" customHeight="1" spans="1:6">
      <c r="A6712" s="9" t="str">
        <f>"10280522420"</f>
        <v>10280522420</v>
      </c>
      <c r="B6712" s="10">
        <v>0</v>
      </c>
      <c r="C6712" s="9"/>
      <c r="D6712" s="9">
        <f t="shared" si="104"/>
        <v>0</v>
      </c>
      <c r="E6712" s="11"/>
      <c r="F6712" s="9" t="s">
        <v>7</v>
      </c>
    </row>
    <row r="6713" s="1" customFormat="1" customHeight="1" spans="1:6">
      <c r="A6713" s="9" t="str">
        <f>"10360522421"</f>
        <v>10360522421</v>
      </c>
      <c r="B6713" s="10">
        <v>27.6</v>
      </c>
      <c r="C6713" s="9"/>
      <c r="D6713" s="9">
        <f t="shared" si="104"/>
        <v>27.6</v>
      </c>
      <c r="E6713" s="11"/>
      <c r="F6713" s="9"/>
    </row>
    <row r="6714" s="1" customFormat="1" customHeight="1" spans="1:6">
      <c r="A6714" s="9" t="str">
        <f>"10100522422"</f>
        <v>10100522422</v>
      </c>
      <c r="B6714" s="10">
        <v>44.72</v>
      </c>
      <c r="C6714" s="9"/>
      <c r="D6714" s="9">
        <f t="shared" si="104"/>
        <v>44.72</v>
      </c>
      <c r="E6714" s="11"/>
      <c r="F6714" s="9"/>
    </row>
    <row r="6715" s="1" customFormat="1" customHeight="1" spans="1:6">
      <c r="A6715" s="9" t="str">
        <f>"10100522423"</f>
        <v>10100522423</v>
      </c>
      <c r="B6715" s="10">
        <v>39.46</v>
      </c>
      <c r="C6715" s="9"/>
      <c r="D6715" s="9">
        <f t="shared" si="104"/>
        <v>39.46</v>
      </c>
      <c r="E6715" s="11"/>
      <c r="F6715" s="9"/>
    </row>
    <row r="6716" s="1" customFormat="1" customHeight="1" spans="1:6">
      <c r="A6716" s="9" t="str">
        <f>"10280522424"</f>
        <v>10280522424</v>
      </c>
      <c r="B6716" s="10">
        <v>34.13</v>
      </c>
      <c r="C6716" s="9"/>
      <c r="D6716" s="9">
        <f t="shared" si="104"/>
        <v>34.13</v>
      </c>
      <c r="E6716" s="11"/>
      <c r="F6716" s="9"/>
    </row>
    <row r="6717" s="1" customFormat="1" customHeight="1" spans="1:6">
      <c r="A6717" s="9" t="str">
        <f>"10300522425"</f>
        <v>10300522425</v>
      </c>
      <c r="B6717" s="10">
        <v>0</v>
      </c>
      <c r="C6717" s="9"/>
      <c r="D6717" s="9">
        <f t="shared" si="104"/>
        <v>0</v>
      </c>
      <c r="E6717" s="11"/>
      <c r="F6717" s="9" t="s">
        <v>7</v>
      </c>
    </row>
    <row r="6718" s="1" customFormat="1" customHeight="1" spans="1:6">
      <c r="A6718" s="9" t="str">
        <f>"10440522426"</f>
        <v>10440522426</v>
      </c>
      <c r="B6718" s="10">
        <v>0</v>
      </c>
      <c r="C6718" s="9"/>
      <c r="D6718" s="9">
        <f t="shared" si="104"/>
        <v>0</v>
      </c>
      <c r="E6718" s="11"/>
      <c r="F6718" s="9" t="s">
        <v>7</v>
      </c>
    </row>
    <row r="6719" s="1" customFormat="1" customHeight="1" spans="1:6">
      <c r="A6719" s="9" t="str">
        <f>"10530522427"</f>
        <v>10530522427</v>
      </c>
      <c r="B6719" s="10">
        <v>47.71</v>
      </c>
      <c r="C6719" s="9"/>
      <c r="D6719" s="9">
        <f t="shared" si="104"/>
        <v>47.71</v>
      </c>
      <c r="E6719" s="11"/>
      <c r="F6719" s="9"/>
    </row>
    <row r="6720" s="1" customFormat="1" customHeight="1" spans="1:6">
      <c r="A6720" s="9" t="str">
        <f>"10530522428"</f>
        <v>10530522428</v>
      </c>
      <c r="B6720" s="10">
        <v>53.96</v>
      </c>
      <c r="C6720" s="9"/>
      <c r="D6720" s="9">
        <f t="shared" si="104"/>
        <v>53.96</v>
      </c>
      <c r="E6720" s="11"/>
      <c r="F6720" s="9"/>
    </row>
    <row r="6721" s="1" customFormat="1" customHeight="1" spans="1:6">
      <c r="A6721" s="9" t="str">
        <f>"10360522429"</f>
        <v>10360522429</v>
      </c>
      <c r="B6721" s="10">
        <v>39.11</v>
      </c>
      <c r="C6721" s="9"/>
      <c r="D6721" s="9">
        <f t="shared" si="104"/>
        <v>39.11</v>
      </c>
      <c r="E6721" s="11"/>
      <c r="F6721" s="9"/>
    </row>
    <row r="6722" s="1" customFormat="1" customHeight="1" spans="1:6">
      <c r="A6722" s="9" t="str">
        <f>"10410522430"</f>
        <v>10410522430</v>
      </c>
      <c r="B6722" s="10">
        <v>38.76</v>
      </c>
      <c r="C6722" s="9"/>
      <c r="D6722" s="9">
        <f t="shared" si="104"/>
        <v>38.76</v>
      </c>
      <c r="E6722" s="11"/>
      <c r="F6722" s="9"/>
    </row>
    <row r="6723" s="1" customFormat="1" customHeight="1" spans="1:6">
      <c r="A6723" s="9" t="str">
        <f>"10210522501"</f>
        <v>10210522501</v>
      </c>
      <c r="B6723" s="10">
        <v>0</v>
      </c>
      <c r="C6723" s="9"/>
      <c r="D6723" s="9">
        <f t="shared" ref="D6723:D6786" si="105">SUM(B6723:C6723)</f>
        <v>0</v>
      </c>
      <c r="E6723" s="11"/>
      <c r="F6723" s="9" t="s">
        <v>7</v>
      </c>
    </row>
    <row r="6724" s="1" customFormat="1" customHeight="1" spans="1:6">
      <c r="A6724" s="9" t="str">
        <f>"10360522502"</f>
        <v>10360522502</v>
      </c>
      <c r="B6724" s="10">
        <v>0</v>
      </c>
      <c r="C6724" s="9"/>
      <c r="D6724" s="9">
        <f t="shared" si="105"/>
        <v>0</v>
      </c>
      <c r="E6724" s="11"/>
      <c r="F6724" s="9" t="s">
        <v>7</v>
      </c>
    </row>
    <row r="6725" s="1" customFormat="1" customHeight="1" spans="1:6">
      <c r="A6725" s="9" t="str">
        <f>"10480522503"</f>
        <v>10480522503</v>
      </c>
      <c r="B6725" s="10">
        <v>48.19</v>
      </c>
      <c r="C6725" s="9"/>
      <c r="D6725" s="9">
        <f t="shared" si="105"/>
        <v>48.19</v>
      </c>
      <c r="E6725" s="11"/>
      <c r="F6725" s="9"/>
    </row>
    <row r="6726" s="1" customFormat="1" customHeight="1" spans="1:6">
      <c r="A6726" s="9" t="str">
        <f>"10060522504"</f>
        <v>10060522504</v>
      </c>
      <c r="B6726" s="10">
        <v>47.1</v>
      </c>
      <c r="C6726" s="9"/>
      <c r="D6726" s="9">
        <f t="shared" si="105"/>
        <v>47.1</v>
      </c>
      <c r="E6726" s="11"/>
      <c r="F6726" s="9"/>
    </row>
    <row r="6727" s="1" customFormat="1" customHeight="1" spans="1:6">
      <c r="A6727" s="9" t="str">
        <f>"10530522505"</f>
        <v>10530522505</v>
      </c>
      <c r="B6727" s="10">
        <v>33.53</v>
      </c>
      <c r="C6727" s="9"/>
      <c r="D6727" s="9">
        <f t="shared" si="105"/>
        <v>33.53</v>
      </c>
      <c r="E6727" s="11"/>
      <c r="F6727" s="9"/>
    </row>
    <row r="6728" s="1" customFormat="1" customHeight="1" spans="1:6">
      <c r="A6728" s="9" t="str">
        <f>"10530522506"</f>
        <v>10530522506</v>
      </c>
      <c r="B6728" s="10">
        <v>40.07</v>
      </c>
      <c r="C6728" s="9"/>
      <c r="D6728" s="9">
        <f t="shared" si="105"/>
        <v>40.07</v>
      </c>
      <c r="E6728" s="11"/>
      <c r="F6728" s="9"/>
    </row>
    <row r="6729" s="1" customFormat="1" customHeight="1" spans="1:6">
      <c r="A6729" s="9" t="str">
        <f>"10360522507"</f>
        <v>10360522507</v>
      </c>
      <c r="B6729" s="10">
        <v>0</v>
      </c>
      <c r="C6729" s="9"/>
      <c r="D6729" s="9">
        <f t="shared" si="105"/>
        <v>0</v>
      </c>
      <c r="E6729" s="11"/>
      <c r="F6729" s="9" t="s">
        <v>7</v>
      </c>
    </row>
    <row r="6730" s="1" customFormat="1" customHeight="1" spans="1:6">
      <c r="A6730" s="9" t="str">
        <f>"10360522508"</f>
        <v>10360522508</v>
      </c>
      <c r="B6730" s="10">
        <v>40.13</v>
      </c>
      <c r="C6730" s="9"/>
      <c r="D6730" s="9">
        <f t="shared" si="105"/>
        <v>40.13</v>
      </c>
      <c r="E6730" s="11"/>
      <c r="F6730" s="9"/>
    </row>
    <row r="6731" s="1" customFormat="1" customHeight="1" spans="1:6">
      <c r="A6731" s="9" t="str">
        <f>"10240522509"</f>
        <v>10240522509</v>
      </c>
      <c r="B6731" s="10">
        <v>0</v>
      </c>
      <c r="C6731" s="9"/>
      <c r="D6731" s="9">
        <f t="shared" si="105"/>
        <v>0</v>
      </c>
      <c r="E6731" s="11"/>
      <c r="F6731" s="9" t="s">
        <v>7</v>
      </c>
    </row>
    <row r="6732" s="1" customFormat="1" customHeight="1" spans="1:6">
      <c r="A6732" s="9" t="str">
        <f>"10440522510"</f>
        <v>10440522510</v>
      </c>
      <c r="B6732" s="10">
        <v>40.45</v>
      </c>
      <c r="C6732" s="9">
        <v>10</v>
      </c>
      <c r="D6732" s="9">
        <f t="shared" si="105"/>
        <v>50.45</v>
      </c>
      <c r="E6732" s="12" t="s">
        <v>8</v>
      </c>
      <c r="F6732" s="9"/>
    </row>
    <row r="6733" s="1" customFormat="1" customHeight="1" spans="1:6">
      <c r="A6733" s="9" t="str">
        <f>"10360522511"</f>
        <v>10360522511</v>
      </c>
      <c r="B6733" s="10">
        <v>35.32</v>
      </c>
      <c r="C6733" s="9"/>
      <c r="D6733" s="9">
        <f t="shared" si="105"/>
        <v>35.32</v>
      </c>
      <c r="E6733" s="11"/>
      <c r="F6733" s="9"/>
    </row>
    <row r="6734" s="1" customFormat="1" customHeight="1" spans="1:6">
      <c r="A6734" s="9" t="str">
        <f>"10190522512"</f>
        <v>10190522512</v>
      </c>
      <c r="B6734" s="10">
        <v>0</v>
      </c>
      <c r="C6734" s="9"/>
      <c r="D6734" s="9">
        <f t="shared" si="105"/>
        <v>0</v>
      </c>
      <c r="E6734" s="11"/>
      <c r="F6734" s="9" t="s">
        <v>7</v>
      </c>
    </row>
    <row r="6735" s="1" customFormat="1" customHeight="1" spans="1:6">
      <c r="A6735" s="9" t="str">
        <f>"10230522513"</f>
        <v>10230522513</v>
      </c>
      <c r="B6735" s="10">
        <v>42.1</v>
      </c>
      <c r="C6735" s="9"/>
      <c r="D6735" s="9">
        <f t="shared" si="105"/>
        <v>42.1</v>
      </c>
      <c r="E6735" s="11"/>
      <c r="F6735" s="9"/>
    </row>
    <row r="6736" s="1" customFormat="1" customHeight="1" spans="1:6">
      <c r="A6736" s="9" t="str">
        <f>"10360522514"</f>
        <v>10360522514</v>
      </c>
      <c r="B6736" s="10">
        <v>0</v>
      </c>
      <c r="C6736" s="9"/>
      <c r="D6736" s="9">
        <f t="shared" si="105"/>
        <v>0</v>
      </c>
      <c r="E6736" s="11"/>
      <c r="F6736" s="9" t="s">
        <v>7</v>
      </c>
    </row>
    <row r="6737" s="1" customFormat="1" customHeight="1" spans="1:6">
      <c r="A6737" s="9" t="str">
        <f>"10360522515"</f>
        <v>10360522515</v>
      </c>
      <c r="B6737" s="10">
        <v>40.42</v>
      </c>
      <c r="C6737" s="9"/>
      <c r="D6737" s="9">
        <f t="shared" si="105"/>
        <v>40.42</v>
      </c>
      <c r="E6737" s="11"/>
      <c r="F6737" s="9"/>
    </row>
    <row r="6738" s="1" customFormat="1" customHeight="1" spans="1:6">
      <c r="A6738" s="9" t="str">
        <f>"10360522516"</f>
        <v>10360522516</v>
      </c>
      <c r="B6738" s="10">
        <v>34.79</v>
      </c>
      <c r="C6738" s="9"/>
      <c r="D6738" s="9">
        <f t="shared" si="105"/>
        <v>34.79</v>
      </c>
      <c r="E6738" s="11"/>
      <c r="F6738" s="9"/>
    </row>
    <row r="6739" s="1" customFormat="1" customHeight="1" spans="1:6">
      <c r="A6739" s="9" t="str">
        <f>"10370522517"</f>
        <v>10370522517</v>
      </c>
      <c r="B6739" s="10">
        <v>0</v>
      </c>
      <c r="C6739" s="9"/>
      <c r="D6739" s="9">
        <f t="shared" si="105"/>
        <v>0</v>
      </c>
      <c r="E6739" s="11"/>
      <c r="F6739" s="9" t="s">
        <v>7</v>
      </c>
    </row>
    <row r="6740" s="1" customFormat="1" customHeight="1" spans="1:6">
      <c r="A6740" s="9" t="str">
        <f>"10360522518"</f>
        <v>10360522518</v>
      </c>
      <c r="B6740" s="10">
        <v>37.11</v>
      </c>
      <c r="C6740" s="9"/>
      <c r="D6740" s="9">
        <f t="shared" si="105"/>
        <v>37.11</v>
      </c>
      <c r="E6740" s="11"/>
      <c r="F6740" s="9"/>
    </row>
    <row r="6741" s="1" customFormat="1" customHeight="1" spans="1:6">
      <c r="A6741" s="9" t="str">
        <f>"10020522519"</f>
        <v>10020522519</v>
      </c>
      <c r="B6741" s="10">
        <v>36.18</v>
      </c>
      <c r="C6741" s="9"/>
      <c r="D6741" s="9">
        <f t="shared" si="105"/>
        <v>36.18</v>
      </c>
      <c r="E6741" s="11"/>
      <c r="F6741" s="9"/>
    </row>
    <row r="6742" s="1" customFormat="1" customHeight="1" spans="1:6">
      <c r="A6742" s="9" t="str">
        <f>"10530522520"</f>
        <v>10530522520</v>
      </c>
      <c r="B6742" s="10">
        <v>40.39</v>
      </c>
      <c r="C6742" s="9"/>
      <c r="D6742" s="9">
        <f t="shared" si="105"/>
        <v>40.39</v>
      </c>
      <c r="E6742" s="11"/>
      <c r="F6742" s="9"/>
    </row>
    <row r="6743" s="1" customFormat="1" customHeight="1" spans="1:6">
      <c r="A6743" s="9" t="str">
        <f>"10140522521"</f>
        <v>10140522521</v>
      </c>
      <c r="B6743" s="10">
        <v>63.35</v>
      </c>
      <c r="C6743" s="9"/>
      <c r="D6743" s="9">
        <f t="shared" si="105"/>
        <v>63.35</v>
      </c>
      <c r="E6743" s="11"/>
      <c r="F6743" s="9"/>
    </row>
    <row r="6744" s="1" customFormat="1" customHeight="1" spans="1:6">
      <c r="A6744" s="9" t="str">
        <f>"10530522522"</f>
        <v>10530522522</v>
      </c>
      <c r="B6744" s="10">
        <v>0</v>
      </c>
      <c r="C6744" s="9"/>
      <c r="D6744" s="9">
        <f t="shared" si="105"/>
        <v>0</v>
      </c>
      <c r="E6744" s="11"/>
      <c r="F6744" s="9" t="s">
        <v>7</v>
      </c>
    </row>
    <row r="6745" s="1" customFormat="1" customHeight="1" spans="1:6">
      <c r="A6745" s="9" t="str">
        <f>"10360522523"</f>
        <v>10360522523</v>
      </c>
      <c r="B6745" s="10">
        <v>31.02</v>
      </c>
      <c r="C6745" s="9"/>
      <c r="D6745" s="9">
        <f t="shared" si="105"/>
        <v>31.02</v>
      </c>
      <c r="E6745" s="11"/>
      <c r="F6745" s="9"/>
    </row>
    <row r="6746" s="1" customFormat="1" customHeight="1" spans="1:6">
      <c r="A6746" s="9" t="str">
        <f>"10110522524"</f>
        <v>10110522524</v>
      </c>
      <c r="B6746" s="10">
        <v>38.51</v>
      </c>
      <c r="C6746" s="9"/>
      <c r="D6746" s="9">
        <f t="shared" si="105"/>
        <v>38.51</v>
      </c>
      <c r="E6746" s="11"/>
      <c r="F6746" s="9"/>
    </row>
    <row r="6747" s="1" customFormat="1" customHeight="1" spans="1:6">
      <c r="A6747" s="9" t="str">
        <f>"10500522525"</f>
        <v>10500522525</v>
      </c>
      <c r="B6747" s="10">
        <v>0</v>
      </c>
      <c r="C6747" s="9"/>
      <c r="D6747" s="9">
        <f t="shared" si="105"/>
        <v>0</v>
      </c>
      <c r="E6747" s="11"/>
      <c r="F6747" s="9" t="s">
        <v>7</v>
      </c>
    </row>
    <row r="6748" s="1" customFormat="1" customHeight="1" spans="1:6">
      <c r="A6748" s="9" t="str">
        <f>"10330522526"</f>
        <v>10330522526</v>
      </c>
      <c r="B6748" s="10">
        <v>40.26</v>
      </c>
      <c r="C6748" s="9"/>
      <c r="D6748" s="9">
        <f t="shared" si="105"/>
        <v>40.26</v>
      </c>
      <c r="E6748" s="11"/>
      <c r="F6748" s="9"/>
    </row>
    <row r="6749" s="1" customFormat="1" customHeight="1" spans="1:6">
      <c r="A6749" s="9" t="str">
        <f>"10360522527"</f>
        <v>10360522527</v>
      </c>
      <c r="B6749" s="10">
        <v>33.83</v>
      </c>
      <c r="C6749" s="9"/>
      <c r="D6749" s="9">
        <f t="shared" si="105"/>
        <v>33.83</v>
      </c>
      <c r="E6749" s="11"/>
      <c r="F6749" s="9"/>
    </row>
    <row r="6750" s="1" customFormat="1" customHeight="1" spans="1:6">
      <c r="A6750" s="9" t="str">
        <f>"10140522528"</f>
        <v>10140522528</v>
      </c>
      <c r="B6750" s="10">
        <v>41.34</v>
      </c>
      <c r="C6750" s="9"/>
      <c r="D6750" s="9">
        <f t="shared" si="105"/>
        <v>41.34</v>
      </c>
      <c r="E6750" s="11"/>
      <c r="F6750" s="9"/>
    </row>
    <row r="6751" s="1" customFormat="1" customHeight="1" spans="1:6">
      <c r="A6751" s="9" t="str">
        <f>"10170522529"</f>
        <v>10170522529</v>
      </c>
      <c r="B6751" s="10">
        <v>33.55</v>
      </c>
      <c r="C6751" s="9"/>
      <c r="D6751" s="9">
        <f t="shared" si="105"/>
        <v>33.55</v>
      </c>
      <c r="E6751" s="11"/>
      <c r="F6751" s="9"/>
    </row>
    <row r="6752" s="1" customFormat="1" customHeight="1" spans="1:6">
      <c r="A6752" s="9" t="str">
        <f>"10510522530"</f>
        <v>10510522530</v>
      </c>
      <c r="B6752" s="10">
        <v>0</v>
      </c>
      <c r="C6752" s="9"/>
      <c r="D6752" s="9">
        <f t="shared" si="105"/>
        <v>0</v>
      </c>
      <c r="E6752" s="11"/>
      <c r="F6752" s="9" t="s">
        <v>7</v>
      </c>
    </row>
    <row r="6753" s="1" customFormat="1" customHeight="1" spans="1:6">
      <c r="A6753" s="9" t="str">
        <f>"10330522601"</f>
        <v>10330522601</v>
      </c>
      <c r="B6753" s="10">
        <v>38.22</v>
      </c>
      <c r="C6753" s="9"/>
      <c r="D6753" s="9">
        <f t="shared" si="105"/>
        <v>38.22</v>
      </c>
      <c r="E6753" s="11"/>
      <c r="F6753" s="9"/>
    </row>
    <row r="6754" s="1" customFormat="1" customHeight="1" spans="1:6">
      <c r="A6754" s="9" t="str">
        <f>"10280522602"</f>
        <v>10280522602</v>
      </c>
      <c r="B6754" s="10">
        <v>37.09</v>
      </c>
      <c r="C6754" s="9"/>
      <c r="D6754" s="9">
        <f t="shared" si="105"/>
        <v>37.09</v>
      </c>
      <c r="E6754" s="11"/>
      <c r="F6754" s="9"/>
    </row>
    <row r="6755" s="1" customFormat="1" customHeight="1" spans="1:6">
      <c r="A6755" s="9" t="str">
        <f>"10360522603"</f>
        <v>10360522603</v>
      </c>
      <c r="B6755" s="10">
        <v>0</v>
      </c>
      <c r="C6755" s="9"/>
      <c r="D6755" s="9">
        <f t="shared" si="105"/>
        <v>0</v>
      </c>
      <c r="E6755" s="11"/>
      <c r="F6755" s="9" t="s">
        <v>7</v>
      </c>
    </row>
    <row r="6756" s="1" customFormat="1" customHeight="1" spans="1:6">
      <c r="A6756" s="9" t="str">
        <f>"10280522604"</f>
        <v>10280522604</v>
      </c>
      <c r="B6756" s="10">
        <v>0</v>
      </c>
      <c r="C6756" s="9"/>
      <c r="D6756" s="9">
        <f t="shared" si="105"/>
        <v>0</v>
      </c>
      <c r="E6756" s="11"/>
      <c r="F6756" s="9" t="s">
        <v>7</v>
      </c>
    </row>
    <row r="6757" s="1" customFormat="1" customHeight="1" spans="1:6">
      <c r="A6757" s="9" t="str">
        <f>"10360522605"</f>
        <v>10360522605</v>
      </c>
      <c r="B6757" s="10">
        <v>35.44</v>
      </c>
      <c r="C6757" s="9"/>
      <c r="D6757" s="9">
        <f t="shared" si="105"/>
        <v>35.44</v>
      </c>
      <c r="E6757" s="11"/>
      <c r="F6757" s="9"/>
    </row>
    <row r="6758" s="1" customFormat="1" customHeight="1" spans="1:6">
      <c r="A6758" s="9" t="str">
        <f>"10360522606"</f>
        <v>10360522606</v>
      </c>
      <c r="B6758" s="10">
        <v>34.83</v>
      </c>
      <c r="C6758" s="9"/>
      <c r="D6758" s="9">
        <f t="shared" si="105"/>
        <v>34.83</v>
      </c>
      <c r="E6758" s="11"/>
      <c r="F6758" s="9"/>
    </row>
    <row r="6759" s="1" customFormat="1" customHeight="1" spans="1:6">
      <c r="A6759" s="9" t="str">
        <f>"10120522607"</f>
        <v>10120522607</v>
      </c>
      <c r="B6759" s="10">
        <v>46.23</v>
      </c>
      <c r="C6759" s="9"/>
      <c r="D6759" s="9">
        <f t="shared" si="105"/>
        <v>46.23</v>
      </c>
      <c r="E6759" s="11"/>
      <c r="F6759" s="9"/>
    </row>
    <row r="6760" s="1" customFormat="1" customHeight="1" spans="1:6">
      <c r="A6760" s="9" t="str">
        <f>"10070522608"</f>
        <v>10070522608</v>
      </c>
      <c r="B6760" s="10">
        <v>0</v>
      </c>
      <c r="C6760" s="9"/>
      <c r="D6760" s="9">
        <f t="shared" si="105"/>
        <v>0</v>
      </c>
      <c r="E6760" s="11"/>
      <c r="F6760" s="9" t="s">
        <v>7</v>
      </c>
    </row>
    <row r="6761" s="1" customFormat="1" customHeight="1" spans="1:6">
      <c r="A6761" s="9" t="str">
        <f>"10530522609"</f>
        <v>10530522609</v>
      </c>
      <c r="B6761" s="10">
        <v>0</v>
      </c>
      <c r="C6761" s="9"/>
      <c r="D6761" s="9">
        <f t="shared" si="105"/>
        <v>0</v>
      </c>
      <c r="E6761" s="11"/>
      <c r="F6761" s="9" t="s">
        <v>7</v>
      </c>
    </row>
    <row r="6762" s="1" customFormat="1" customHeight="1" spans="1:6">
      <c r="A6762" s="9" t="str">
        <f>"10360522610"</f>
        <v>10360522610</v>
      </c>
      <c r="B6762" s="10">
        <v>36.96</v>
      </c>
      <c r="C6762" s="9"/>
      <c r="D6762" s="9">
        <f t="shared" si="105"/>
        <v>36.96</v>
      </c>
      <c r="E6762" s="11"/>
      <c r="F6762" s="9"/>
    </row>
    <row r="6763" s="1" customFormat="1" customHeight="1" spans="1:6">
      <c r="A6763" s="9" t="str">
        <f>"10080522611"</f>
        <v>10080522611</v>
      </c>
      <c r="B6763" s="10">
        <v>0</v>
      </c>
      <c r="C6763" s="9"/>
      <c r="D6763" s="9">
        <f t="shared" si="105"/>
        <v>0</v>
      </c>
      <c r="E6763" s="11"/>
      <c r="F6763" s="9" t="s">
        <v>7</v>
      </c>
    </row>
    <row r="6764" s="1" customFormat="1" customHeight="1" spans="1:6">
      <c r="A6764" s="9" t="str">
        <f>"10440522612"</f>
        <v>10440522612</v>
      </c>
      <c r="B6764" s="10">
        <v>0</v>
      </c>
      <c r="C6764" s="9"/>
      <c r="D6764" s="9">
        <f t="shared" si="105"/>
        <v>0</v>
      </c>
      <c r="E6764" s="11"/>
      <c r="F6764" s="9" t="s">
        <v>7</v>
      </c>
    </row>
    <row r="6765" s="1" customFormat="1" customHeight="1" spans="1:6">
      <c r="A6765" s="9" t="str">
        <f>"10440522613"</f>
        <v>10440522613</v>
      </c>
      <c r="B6765" s="10">
        <v>43.71</v>
      </c>
      <c r="C6765" s="9"/>
      <c r="D6765" s="9">
        <f t="shared" si="105"/>
        <v>43.71</v>
      </c>
      <c r="E6765" s="11"/>
      <c r="F6765" s="9"/>
    </row>
    <row r="6766" s="1" customFormat="1" customHeight="1" spans="1:6">
      <c r="A6766" s="9" t="str">
        <f>"10070522614"</f>
        <v>10070522614</v>
      </c>
      <c r="B6766" s="10">
        <v>0</v>
      </c>
      <c r="C6766" s="9"/>
      <c r="D6766" s="9">
        <f t="shared" si="105"/>
        <v>0</v>
      </c>
      <c r="E6766" s="11"/>
      <c r="F6766" s="9" t="s">
        <v>7</v>
      </c>
    </row>
    <row r="6767" s="1" customFormat="1" customHeight="1" spans="1:6">
      <c r="A6767" s="9" t="str">
        <f>"10210522615"</f>
        <v>10210522615</v>
      </c>
      <c r="B6767" s="10">
        <v>0</v>
      </c>
      <c r="C6767" s="9"/>
      <c r="D6767" s="9">
        <f t="shared" si="105"/>
        <v>0</v>
      </c>
      <c r="E6767" s="11"/>
      <c r="F6767" s="9" t="s">
        <v>7</v>
      </c>
    </row>
    <row r="6768" s="1" customFormat="1" customHeight="1" spans="1:6">
      <c r="A6768" s="9" t="str">
        <f>"10360522616"</f>
        <v>10360522616</v>
      </c>
      <c r="B6768" s="10">
        <v>0</v>
      </c>
      <c r="C6768" s="9"/>
      <c r="D6768" s="9">
        <f t="shared" si="105"/>
        <v>0</v>
      </c>
      <c r="E6768" s="11"/>
      <c r="F6768" s="9" t="s">
        <v>7</v>
      </c>
    </row>
    <row r="6769" s="1" customFormat="1" customHeight="1" spans="1:6">
      <c r="A6769" s="9" t="str">
        <f>"10360522617"</f>
        <v>10360522617</v>
      </c>
      <c r="B6769" s="10">
        <v>41.36</v>
      </c>
      <c r="C6769" s="9"/>
      <c r="D6769" s="9">
        <f t="shared" si="105"/>
        <v>41.36</v>
      </c>
      <c r="E6769" s="11"/>
      <c r="F6769" s="9"/>
    </row>
    <row r="6770" s="1" customFormat="1" customHeight="1" spans="1:6">
      <c r="A6770" s="9" t="str">
        <f>"10300522618"</f>
        <v>10300522618</v>
      </c>
      <c r="B6770" s="10">
        <v>42.23</v>
      </c>
      <c r="C6770" s="9"/>
      <c r="D6770" s="9">
        <f t="shared" si="105"/>
        <v>42.23</v>
      </c>
      <c r="E6770" s="11"/>
      <c r="F6770" s="9"/>
    </row>
    <row r="6771" s="1" customFormat="1" customHeight="1" spans="1:6">
      <c r="A6771" s="9" t="str">
        <f>"10360522619"</f>
        <v>10360522619</v>
      </c>
      <c r="B6771" s="10">
        <v>44.52</v>
      </c>
      <c r="C6771" s="9"/>
      <c r="D6771" s="9">
        <f t="shared" si="105"/>
        <v>44.52</v>
      </c>
      <c r="E6771" s="11"/>
      <c r="F6771" s="9"/>
    </row>
    <row r="6772" s="1" customFormat="1" customHeight="1" spans="1:6">
      <c r="A6772" s="9" t="str">
        <f>"10530522620"</f>
        <v>10530522620</v>
      </c>
      <c r="B6772" s="10">
        <v>50.43</v>
      </c>
      <c r="C6772" s="9"/>
      <c r="D6772" s="9">
        <f t="shared" si="105"/>
        <v>50.43</v>
      </c>
      <c r="E6772" s="11"/>
      <c r="F6772" s="9"/>
    </row>
    <row r="6773" s="1" customFormat="1" customHeight="1" spans="1:6">
      <c r="A6773" s="9" t="str">
        <f>"10530522621"</f>
        <v>10530522621</v>
      </c>
      <c r="B6773" s="10">
        <v>0</v>
      </c>
      <c r="C6773" s="9"/>
      <c r="D6773" s="9">
        <f t="shared" si="105"/>
        <v>0</v>
      </c>
      <c r="E6773" s="11"/>
      <c r="F6773" s="9" t="s">
        <v>7</v>
      </c>
    </row>
    <row r="6774" s="1" customFormat="1" customHeight="1" spans="1:6">
      <c r="A6774" s="9" t="str">
        <f>"10070522622"</f>
        <v>10070522622</v>
      </c>
      <c r="B6774" s="10">
        <v>33.64</v>
      </c>
      <c r="C6774" s="9"/>
      <c r="D6774" s="9">
        <f t="shared" si="105"/>
        <v>33.64</v>
      </c>
      <c r="E6774" s="11"/>
      <c r="F6774" s="9"/>
    </row>
    <row r="6775" s="1" customFormat="1" customHeight="1" spans="1:6">
      <c r="A6775" s="9" t="str">
        <f>"10520522623"</f>
        <v>10520522623</v>
      </c>
      <c r="B6775" s="10">
        <v>48.09</v>
      </c>
      <c r="C6775" s="9"/>
      <c r="D6775" s="9">
        <f t="shared" si="105"/>
        <v>48.09</v>
      </c>
      <c r="E6775" s="11"/>
      <c r="F6775" s="9"/>
    </row>
    <row r="6776" s="1" customFormat="1" customHeight="1" spans="1:6">
      <c r="A6776" s="9" t="str">
        <f>"10240522624"</f>
        <v>10240522624</v>
      </c>
      <c r="B6776" s="10">
        <v>0</v>
      </c>
      <c r="C6776" s="9"/>
      <c r="D6776" s="9">
        <f t="shared" si="105"/>
        <v>0</v>
      </c>
      <c r="E6776" s="11"/>
      <c r="F6776" s="9" t="s">
        <v>7</v>
      </c>
    </row>
    <row r="6777" s="1" customFormat="1" customHeight="1" spans="1:6">
      <c r="A6777" s="9" t="str">
        <f>"10170522625"</f>
        <v>10170522625</v>
      </c>
      <c r="B6777" s="10">
        <v>39.12</v>
      </c>
      <c r="C6777" s="9"/>
      <c r="D6777" s="9">
        <f t="shared" si="105"/>
        <v>39.12</v>
      </c>
      <c r="E6777" s="11"/>
      <c r="F6777" s="9"/>
    </row>
    <row r="6778" s="1" customFormat="1" customHeight="1" spans="1:6">
      <c r="A6778" s="9" t="str">
        <f>"10360522626"</f>
        <v>10360522626</v>
      </c>
      <c r="B6778" s="10">
        <v>0</v>
      </c>
      <c r="C6778" s="9"/>
      <c r="D6778" s="9">
        <f t="shared" si="105"/>
        <v>0</v>
      </c>
      <c r="E6778" s="11"/>
      <c r="F6778" s="9" t="s">
        <v>7</v>
      </c>
    </row>
    <row r="6779" s="1" customFormat="1" customHeight="1" spans="1:6">
      <c r="A6779" s="9" t="str">
        <f>"10170522627"</f>
        <v>10170522627</v>
      </c>
      <c r="B6779" s="10">
        <v>45.66</v>
      </c>
      <c r="C6779" s="9"/>
      <c r="D6779" s="9">
        <f t="shared" si="105"/>
        <v>45.66</v>
      </c>
      <c r="E6779" s="11"/>
      <c r="F6779" s="9"/>
    </row>
    <row r="6780" s="1" customFormat="1" customHeight="1" spans="1:6">
      <c r="A6780" s="9" t="str">
        <f>"10360522628"</f>
        <v>10360522628</v>
      </c>
      <c r="B6780" s="10">
        <v>30.96</v>
      </c>
      <c r="C6780" s="9"/>
      <c r="D6780" s="9">
        <f t="shared" si="105"/>
        <v>30.96</v>
      </c>
      <c r="E6780" s="11"/>
      <c r="F6780" s="9"/>
    </row>
    <row r="6781" s="1" customFormat="1" customHeight="1" spans="1:6">
      <c r="A6781" s="9" t="str">
        <f>"10440522629"</f>
        <v>10440522629</v>
      </c>
      <c r="B6781" s="10">
        <v>0</v>
      </c>
      <c r="C6781" s="9"/>
      <c r="D6781" s="9">
        <f t="shared" si="105"/>
        <v>0</v>
      </c>
      <c r="E6781" s="11"/>
      <c r="F6781" s="9" t="s">
        <v>7</v>
      </c>
    </row>
    <row r="6782" s="1" customFormat="1" customHeight="1" spans="1:6">
      <c r="A6782" s="9" t="str">
        <f>"10430522630"</f>
        <v>10430522630</v>
      </c>
      <c r="B6782" s="10">
        <v>40.85</v>
      </c>
      <c r="C6782" s="9"/>
      <c r="D6782" s="9">
        <f t="shared" si="105"/>
        <v>40.85</v>
      </c>
      <c r="E6782" s="11"/>
      <c r="F6782" s="9"/>
    </row>
    <row r="6783" s="1" customFormat="1" customHeight="1" spans="1:6">
      <c r="A6783" s="9" t="str">
        <f>"10060522701"</f>
        <v>10060522701</v>
      </c>
      <c r="B6783" s="10">
        <v>35.04</v>
      </c>
      <c r="C6783" s="9"/>
      <c r="D6783" s="9">
        <f t="shared" si="105"/>
        <v>35.04</v>
      </c>
      <c r="E6783" s="11"/>
      <c r="F6783" s="9"/>
    </row>
    <row r="6784" s="1" customFormat="1" customHeight="1" spans="1:6">
      <c r="A6784" s="9" t="str">
        <f>"10360522702"</f>
        <v>10360522702</v>
      </c>
      <c r="B6784" s="10">
        <v>45.97</v>
      </c>
      <c r="C6784" s="9"/>
      <c r="D6784" s="9">
        <f t="shared" si="105"/>
        <v>45.97</v>
      </c>
      <c r="E6784" s="11"/>
      <c r="F6784" s="9"/>
    </row>
    <row r="6785" s="1" customFormat="1" customHeight="1" spans="1:6">
      <c r="A6785" s="9" t="str">
        <f>"10500522703"</f>
        <v>10500522703</v>
      </c>
      <c r="B6785" s="10">
        <v>0</v>
      </c>
      <c r="C6785" s="9"/>
      <c r="D6785" s="9">
        <f t="shared" si="105"/>
        <v>0</v>
      </c>
      <c r="E6785" s="11"/>
      <c r="F6785" s="9" t="s">
        <v>7</v>
      </c>
    </row>
    <row r="6786" s="1" customFormat="1" customHeight="1" spans="1:6">
      <c r="A6786" s="9" t="str">
        <f>"10520522704"</f>
        <v>10520522704</v>
      </c>
      <c r="B6786" s="10">
        <v>0</v>
      </c>
      <c r="C6786" s="9"/>
      <c r="D6786" s="9">
        <f t="shared" si="105"/>
        <v>0</v>
      </c>
      <c r="E6786" s="11"/>
      <c r="F6786" s="9" t="s">
        <v>7</v>
      </c>
    </row>
    <row r="6787" s="1" customFormat="1" customHeight="1" spans="1:6">
      <c r="A6787" s="9" t="str">
        <f>"10270522705"</f>
        <v>10270522705</v>
      </c>
      <c r="B6787" s="10">
        <v>47.19</v>
      </c>
      <c r="C6787" s="9"/>
      <c r="D6787" s="9">
        <f t="shared" ref="D6787:D6850" si="106">SUM(B6787:C6787)</f>
        <v>47.19</v>
      </c>
      <c r="E6787" s="11"/>
      <c r="F6787" s="9"/>
    </row>
    <row r="6788" s="1" customFormat="1" customHeight="1" spans="1:6">
      <c r="A6788" s="9" t="str">
        <f>"10240522706"</f>
        <v>10240522706</v>
      </c>
      <c r="B6788" s="10">
        <v>0</v>
      </c>
      <c r="C6788" s="9"/>
      <c r="D6788" s="9">
        <f t="shared" si="106"/>
        <v>0</v>
      </c>
      <c r="E6788" s="11"/>
      <c r="F6788" s="9" t="s">
        <v>7</v>
      </c>
    </row>
    <row r="6789" s="1" customFormat="1" customHeight="1" spans="1:6">
      <c r="A6789" s="9" t="str">
        <f>"10080522707"</f>
        <v>10080522707</v>
      </c>
      <c r="B6789" s="10">
        <v>44.58</v>
      </c>
      <c r="C6789" s="9"/>
      <c r="D6789" s="9">
        <f t="shared" si="106"/>
        <v>44.58</v>
      </c>
      <c r="E6789" s="11"/>
      <c r="F6789" s="9"/>
    </row>
    <row r="6790" s="1" customFormat="1" customHeight="1" spans="1:6">
      <c r="A6790" s="9" t="str">
        <f>"10090522708"</f>
        <v>10090522708</v>
      </c>
      <c r="B6790" s="10">
        <v>43.01</v>
      </c>
      <c r="C6790" s="9"/>
      <c r="D6790" s="9">
        <f t="shared" si="106"/>
        <v>43.01</v>
      </c>
      <c r="E6790" s="11"/>
      <c r="F6790" s="9"/>
    </row>
    <row r="6791" s="1" customFormat="1" customHeight="1" spans="1:6">
      <c r="A6791" s="9" t="str">
        <f>"10510522709"</f>
        <v>10510522709</v>
      </c>
      <c r="B6791" s="10">
        <v>43.06</v>
      </c>
      <c r="C6791" s="9"/>
      <c r="D6791" s="9">
        <f t="shared" si="106"/>
        <v>43.06</v>
      </c>
      <c r="E6791" s="11"/>
      <c r="F6791" s="9"/>
    </row>
    <row r="6792" s="1" customFormat="1" customHeight="1" spans="1:6">
      <c r="A6792" s="9" t="str">
        <f>"10240522710"</f>
        <v>10240522710</v>
      </c>
      <c r="B6792" s="10">
        <v>34.95</v>
      </c>
      <c r="C6792" s="9"/>
      <c r="D6792" s="9">
        <f t="shared" si="106"/>
        <v>34.95</v>
      </c>
      <c r="E6792" s="11"/>
      <c r="F6792" s="9"/>
    </row>
    <row r="6793" s="1" customFormat="1" customHeight="1" spans="1:6">
      <c r="A6793" s="9" t="str">
        <f>"10360522711"</f>
        <v>10360522711</v>
      </c>
      <c r="B6793" s="10">
        <v>42.89</v>
      </c>
      <c r="C6793" s="9"/>
      <c r="D6793" s="9">
        <f t="shared" si="106"/>
        <v>42.89</v>
      </c>
      <c r="E6793" s="11"/>
      <c r="F6793" s="9"/>
    </row>
    <row r="6794" s="1" customFormat="1" customHeight="1" spans="1:6">
      <c r="A6794" s="9" t="str">
        <f>"10190522712"</f>
        <v>10190522712</v>
      </c>
      <c r="B6794" s="10">
        <v>0</v>
      </c>
      <c r="C6794" s="9"/>
      <c r="D6794" s="9">
        <f t="shared" si="106"/>
        <v>0</v>
      </c>
      <c r="E6794" s="11"/>
      <c r="F6794" s="9" t="s">
        <v>7</v>
      </c>
    </row>
    <row r="6795" s="1" customFormat="1" customHeight="1" spans="1:6">
      <c r="A6795" s="9" t="str">
        <f>"10520522713"</f>
        <v>10520522713</v>
      </c>
      <c r="B6795" s="10">
        <v>34.42</v>
      </c>
      <c r="C6795" s="9"/>
      <c r="D6795" s="9">
        <f t="shared" si="106"/>
        <v>34.42</v>
      </c>
      <c r="E6795" s="11"/>
      <c r="F6795" s="9"/>
    </row>
    <row r="6796" s="1" customFormat="1" customHeight="1" spans="1:6">
      <c r="A6796" s="9" t="str">
        <f>"10200522714"</f>
        <v>10200522714</v>
      </c>
      <c r="B6796" s="10">
        <v>38.3</v>
      </c>
      <c r="C6796" s="9"/>
      <c r="D6796" s="9">
        <f t="shared" si="106"/>
        <v>38.3</v>
      </c>
      <c r="E6796" s="11"/>
      <c r="F6796" s="9"/>
    </row>
    <row r="6797" s="1" customFormat="1" customHeight="1" spans="1:6">
      <c r="A6797" s="9" t="str">
        <f>"10530522715"</f>
        <v>10530522715</v>
      </c>
      <c r="B6797" s="10">
        <v>32.18</v>
      </c>
      <c r="C6797" s="9"/>
      <c r="D6797" s="9">
        <f t="shared" si="106"/>
        <v>32.18</v>
      </c>
      <c r="E6797" s="11"/>
      <c r="F6797" s="9"/>
    </row>
    <row r="6798" s="1" customFormat="1" customHeight="1" spans="1:6">
      <c r="A6798" s="9" t="str">
        <f>"10510522716"</f>
        <v>10510522716</v>
      </c>
      <c r="B6798" s="10">
        <v>41.89</v>
      </c>
      <c r="C6798" s="9"/>
      <c r="D6798" s="9">
        <f t="shared" si="106"/>
        <v>41.89</v>
      </c>
      <c r="E6798" s="11"/>
      <c r="F6798" s="9"/>
    </row>
    <row r="6799" s="1" customFormat="1" customHeight="1" spans="1:6">
      <c r="A6799" s="9" t="str">
        <f>"10170522717"</f>
        <v>10170522717</v>
      </c>
      <c r="B6799" s="10">
        <v>0</v>
      </c>
      <c r="C6799" s="9"/>
      <c r="D6799" s="9">
        <f t="shared" si="106"/>
        <v>0</v>
      </c>
      <c r="E6799" s="11"/>
      <c r="F6799" s="9" t="s">
        <v>7</v>
      </c>
    </row>
    <row r="6800" s="1" customFormat="1" customHeight="1" spans="1:6">
      <c r="A6800" s="9" t="str">
        <f>"10240522718"</f>
        <v>10240522718</v>
      </c>
      <c r="B6800" s="10">
        <v>44.07</v>
      </c>
      <c r="C6800" s="9"/>
      <c r="D6800" s="9">
        <f t="shared" si="106"/>
        <v>44.07</v>
      </c>
      <c r="E6800" s="11"/>
      <c r="F6800" s="9"/>
    </row>
    <row r="6801" s="1" customFormat="1" customHeight="1" spans="1:6">
      <c r="A6801" s="9" t="str">
        <f>"10360522719"</f>
        <v>10360522719</v>
      </c>
      <c r="B6801" s="10">
        <v>36.96</v>
      </c>
      <c r="C6801" s="9"/>
      <c r="D6801" s="9">
        <f t="shared" si="106"/>
        <v>36.96</v>
      </c>
      <c r="E6801" s="11"/>
      <c r="F6801" s="9"/>
    </row>
    <row r="6802" s="1" customFormat="1" customHeight="1" spans="1:6">
      <c r="A6802" s="9" t="str">
        <f>"10360522720"</f>
        <v>10360522720</v>
      </c>
      <c r="B6802" s="10">
        <v>0</v>
      </c>
      <c r="C6802" s="9"/>
      <c r="D6802" s="9">
        <f t="shared" si="106"/>
        <v>0</v>
      </c>
      <c r="E6802" s="11"/>
      <c r="F6802" s="9" t="s">
        <v>7</v>
      </c>
    </row>
    <row r="6803" s="1" customFormat="1" customHeight="1" spans="1:6">
      <c r="A6803" s="9" t="str">
        <f>"10510522721"</f>
        <v>10510522721</v>
      </c>
      <c r="B6803" s="10">
        <v>45.67</v>
      </c>
      <c r="C6803" s="9"/>
      <c r="D6803" s="9">
        <f t="shared" si="106"/>
        <v>45.67</v>
      </c>
      <c r="E6803" s="11"/>
      <c r="F6803" s="9"/>
    </row>
    <row r="6804" s="1" customFormat="1" customHeight="1" spans="1:6">
      <c r="A6804" s="9" t="str">
        <f>"10530522722"</f>
        <v>10530522722</v>
      </c>
      <c r="B6804" s="10">
        <v>29.02</v>
      </c>
      <c r="C6804" s="9"/>
      <c r="D6804" s="9">
        <f t="shared" si="106"/>
        <v>29.02</v>
      </c>
      <c r="E6804" s="11"/>
      <c r="F6804" s="9"/>
    </row>
    <row r="6805" s="1" customFormat="1" customHeight="1" spans="1:6">
      <c r="A6805" s="9" t="str">
        <f>"10360522723"</f>
        <v>10360522723</v>
      </c>
      <c r="B6805" s="10">
        <v>0</v>
      </c>
      <c r="C6805" s="9"/>
      <c r="D6805" s="9">
        <f t="shared" si="106"/>
        <v>0</v>
      </c>
      <c r="E6805" s="11"/>
      <c r="F6805" s="9" t="s">
        <v>7</v>
      </c>
    </row>
    <row r="6806" s="1" customFormat="1" customHeight="1" spans="1:6">
      <c r="A6806" s="9" t="str">
        <f>"10160522724"</f>
        <v>10160522724</v>
      </c>
      <c r="B6806" s="10">
        <v>42.58</v>
      </c>
      <c r="C6806" s="9"/>
      <c r="D6806" s="9">
        <f t="shared" si="106"/>
        <v>42.58</v>
      </c>
      <c r="E6806" s="11"/>
      <c r="F6806" s="9"/>
    </row>
    <row r="6807" s="1" customFormat="1" customHeight="1" spans="1:6">
      <c r="A6807" s="9" t="str">
        <f>"10500522725"</f>
        <v>10500522725</v>
      </c>
      <c r="B6807" s="10">
        <v>40.88</v>
      </c>
      <c r="C6807" s="9"/>
      <c r="D6807" s="9">
        <f t="shared" si="106"/>
        <v>40.88</v>
      </c>
      <c r="E6807" s="11"/>
      <c r="F6807" s="9"/>
    </row>
    <row r="6808" s="1" customFormat="1" customHeight="1" spans="1:6">
      <c r="A6808" s="9" t="str">
        <f>"10280522726"</f>
        <v>10280522726</v>
      </c>
      <c r="B6808" s="10">
        <v>41.37</v>
      </c>
      <c r="C6808" s="9"/>
      <c r="D6808" s="9">
        <f t="shared" si="106"/>
        <v>41.37</v>
      </c>
      <c r="E6808" s="11"/>
      <c r="F6808" s="9"/>
    </row>
    <row r="6809" s="1" customFormat="1" customHeight="1" spans="1:6">
      <c r="A6809" s="9" t="str">
        <f>"10180522727"</f>
        <v>10180522727</v>
      </c>
      <c r="B6809" s="10">
        <v>56.69</v>
      </c>
      <c r="C6809" s="9"/>
      <c r="D6809" s="9">
        <f t="shared" si="106"/>
        <v>56.69</v>
      </c>
      <c r="E6809" s="11"/>
      <c r="F6809" s="9"/>
    </row>
    <row r="6810" s="1" customFormat="1" customHeight="1" spans="1:6">
      <c r="A6810" s="9" t="str">
        <f>"10360522728"</f>
        <v>10360522728</v>
      </c>
      <c r="B6810" s="10">
        <v>32.88</v>
      </c>
      <c r="C6810" s="9"/>
      <c r="D6810" s="9">
        <f t="shared" si="106"/>
        <v>32.88</v>
      </c>
      <c r="E6810" s="11"/>
      <c r="F6810" s="9"/>
    </row>
    <row r="6811" s="1" customFormat="1" customHeight="1" spans="1:6">
      <c r="A6811" s="9" t="str">
        <f>"10380522729"</f>
        <v>10380522729</v>
      </c>
      <c r="B6811" s="10">
        <v>0</v>
      </c>
      <c r="C6811" s="9"/>
      <c r="D6811" s="9">
        <f t="shared" si="106"/>
        <v>0</v>
      </c>
      <c r="E6811" s="11"/>
      <c r="F6811" s="9" t="s">
        <v>7</v>
      </c>
    </row>
    <row r="6812" s="1" customFormat="1" customHeight="1" spans="1:6">
      <c r="A6812" s="9" t="str">
        <f>"10360522730"</f>
        <v>10360522730</v>
      </c>
      <c r="B6812" s="10">
        <v>0</v>
      </c>
      <c r="C6812" s="9"/>
      <c r="D6812" s="9">
        <f t="shared" si="106"/>
        <v>0</v>
      </c>
      <c r="E6812" s="11"/>
      <c r="F6812" s="9" t="s">
        <v>7</v>
      </c>
    </row>
    <row r="6813" s="1" customFormat="1" customHeight="1" spans="1:6">
      <c r="A6813" s="9" t="str">
        <f>"10240522801"</f>
        <v>10240522801</v>
      </c>
      <c r="B6813" s="10">
        <v>0</v>
      </c>
      <c r="C6813" s="9"/>
      <c r="D6813" s="9">
        <f t="shared" si="106"/>
        <v>0</v>
      </c>
      <c r="E6813" s="11"/>
      <c r="F6813" s="9" t="s">
        <v>7</v>
      </c>
    </row>
    <row r="6814" s="1" customFormat="1" customHeight="1" spans="1:6">
      <c r="A6814" s="9" t="str">
        <f>"10360522802"</f>
        <v>10360522802</v>
      </c>
      <c r="B6814" s="10">
        <v>0</v>
      </c>
      <c r="C6814" s="9"/>
      <c r="D6814" s="9">
        <f t="shared" si="106"/>
        <v>0</v>
      </c>
      <c r="E6814" s="11"/>
      <c r="F6814" s="9" t="s">
        <v>7</v>
      </c>
    </row>
    <row r="6815" s="1" customFormat="1" customHeight="1" spans="1:6">
      <c r="A6815" s="9" t="str">
        <f>"10360522803"</f>
        <v>10360522803</v>
      </c>
      <c r="B6815" s="10">
        <v>43.55</v>
      </c>
      <c r="C6815" s="9"/>
      <c r="D6815" s="9">
        <f t="shared" si="106"/>
        <v>43.55</v>
      </c>
      <c r="E6815" s="11"/>
      <c r="F6815" s="9"/>
    </row>
    <row r="6816" s="1" customFormat="1" customHeight="1" spans="1:6">
      <c r="A6816" s="9" t="str">
        <f>"10140522804"</f>
        <v>10140522804</v>
      </c>
      <c r="B6816" s="10">
        <v>0</v>
      </c>
      <c r="C6816" s="9"/>
      <c r="D6816" s="9">
        <f t="shared" si="106"/>
        <v>0</v>
      </c>
      <c r="E6816" s="11"/>
      <c r="F6816" s="9" t="s">
        <v>7</v>
      </c>
    </row>
    <row r="6817" s="1" customFormat="1" customHeight="1" spans="1:6">
      <c r="A6817" s="9" t="str">
        <f>"10530522805"</f>
        <v>10530522805</v>
      </c>
      <c r="B6817" s="10">
        <v>41.54</v>
      </c>
      <c r="C6817" s="9"/>
      <c r="D6817" s="9">
        <f t="shared" si="106"/>
        <v>41.54</v>
      </c>
      <c r="E6817" s="11"/>
      <c r="F6817" s="9"/>
    </row>
    <row r="6818" s="1" customFormat="1" customHeight="1" spans="1:6">
      <c r="A6818" s="9" t="str">
        <f>"10480522806"</f>
        <v>10480522806</v>
      </c>
      <c r="B6818" s="10">
        <v>0</v>
      </c>
      <c r="C6818" s="9"/>
      <c r="D6818" s="9">
        <f t="shared" si="106"/>
        <v>0</v>
      </c>
      <c r="E6818" s="11"/>
      <c r="F6818" s="9" t="s">
        <v>7</v>
      </c>
    </row>
    <row r="6819" s="1" customFormat="1" customHeight="1" spans="1:6">
      <c r="A6819" s="9" t="str">
        <f>"10110522807"</f>
        <v>10110522807</v>
      </c>
      <c r="B6819" s="10">
        <v>32.32</v>
      </c>
      <c r="C6819" s="9"/>
      <c r="D6819" s="9">
        <f t="shared" si="106"/>
        <v>32.32</v>
      </c>
      <c r="E6819" s="11"/>
      <c r="F6819" s="9"/>
    </row>
    <row r="6820" s="1" customFormat="1" customHeight="1" spans="1:6">
      <c r="A6820" s="9" t="str">
        <f>"10380522808"</f>
        <v>10380522808</v>
      </c>
      <c r="B6820" s="10">
        <v>42.51</v>
      </c>
      <c r="C6820" s="9"/>
      <c r="D6820" s="9">
        <f t="shared" si="106"/>
        <v>42.51</v>
      </c>
      <c r="E6820" s="11"/>
      <c r="F6820" s="9"/>
    </row>
    <row r="6821" s="1" customFormat="1" customHeight="1" spans="1:6">
      <c r="A6821" s="9" t="str">
        <f>"10060522809"</f>
        <v>10060522809</v>
      </c>
      <c r="B6821" s="10">
        <v>47.01</v>
      </c>
      <c r="C6821" s="9"/>
      <c r="D6821" s="9">
        <f t="shared" si="106"/>
        <v>47.01</v>
      </c>
      <c r="E6821" s="11"/>
      <c r="F6821" s="9"/>
    </row>
    <row r="6822" s="1" customFormat="1" customHeight="1" spans="1:6">
      <c r="A6822" s="9" t="str">
        <f>"10060522810"</f>
        <v>10060522810</v>
      </c>
      <c r="B6822" s="10">
        <v>0</v>
      </c>
      <c r="C6822" s="9"/>
      <c r="D6822" s="9">
        <f t="shared" si="106"/>
        <v>0</v>
      </c>
      <c r="E6822" s="11"/>
      <c r="F6822" s="9" t="s">
        <v>7</v>
      </c>
    </row>
    <row r="6823" s="1" customFormat="1" customHeight="1" spans="1:6">
      <c r="A6823" s="9" t="str">
        <f>"10360522811"</f>
        <v>10360522811</v>
      </c>
      <c r="B6823" s="10">
        <v>33.97</v>
      </c>
      <c r="C6823" s="9"/>
      <c r="D6823" s="9">
        <f t="shared" si="106"/>
        <v>33.97</v>
      </c>
      <c r="E6823" s="11"/>
      <c r="F6823" s="9"/>
    </row>
    <row r="6824" s="1" customFormat="1" customHeight="1" spans="1:6">
      <c r="A6824" s="9" t="str">
        <f>"10520522812"</f>
        <v>10520522812</v>
      </c>
      <c r="B6824" s="10">
        <v>43.66</v>
      </c>
      <c r="C6824" s="9"/>
      <c r="D6824" s="9">
        <f t="shared" si="106"/>
        <v>43.66</v>
      </c>
      <c r="E6824" s="11"/>
      <c r="F6824" s="9"/>
    </row>
    <row r="6825" s="1" customFormat="1" customHeight="1" spans="1:6">
      <c r="A6825" s="9" t="str">
        <f>"10060522813"</f>
        <v>10060522813</v>
      </c>
      <c r="B6825" s="10">
        <v>43.75</v>
      </c>
      <c r="C6825" s="9"/>
      <c r="D6825" s="9">
        <f t="shared" si="106"/>
        <v>43.75</v>
      </c>
      <c r="E6825" s="11"/>
      <c r="F6825" s="9"/>
    </row>
    <row r="6826" s="1" customFormat="1" customHeight="1" spans="1:6">
      <c r="A6826" s="9" t="str">
        <f>"10530522814"</f>
        <v>10530522814</v>
      </c>
      <c r="B6826" s="10">
        <v>0</v>
      </c>
      <c r="C6826" s="9"/>
      <c r="D6826" s="9">
        <f t="shared" si="106"/>
        <v>0</v>
      </c>
      <c r="E6826" s="11"/>
      <c r="F6826" s="9" t="s">
        <v>7</v>
      </c>
    </row>
    <row r="6827" s="1" customFormat="1" customHeight="1" spans="1:6">
      <c r="A6827" s="9" t="str">
        <f>"10110522815"</f>
        <v>10110522815</v>
      </c>
      <c r="B6827" s="10">
        <v>37.1</v>
      </c>
      <c r="C6827" s="9"/>
      <c r="D6827" s="9">
        <f t="shared" si="106"/>
        <v>37.1</v>
      </c>
      <c r="E6827" s="11"/>
      <c r="F6827" s="9"/>
    </row>
    <row r="6828" s="1" customFormat="1" customHeight="1" spans="1:6">
      <c r="A6828" s="9" t="str">
        <f>"10090522816"</f>
        <v>10090522816</v>
      </c>
      <c r="B6828" s="10">
        <v>0</v>
      </c>
      <c r="C6828" s="9"/>
      <c r="D6828" s="9">
        <f t="shared" si="106"/>
        <v>0</v>
      </c>
      <c r="E6828" s="11"/>
      <c r="F6828" s="9" t="s">
        <v>7</v>
      </c>
    </row>
    <row r="6829" s="1" customFormat="1" customHeight="1" spans="1:6">
      <c r="A6829" s="9" t="str">
        <f>"20270522817"</f>
        <v>20270522817</v>
      </c>
      <c r="B6829" s="10">
        <v>34.14</v>
      </c>
      <c r="C6829" s="9"/>
      <c r="D6829" s="9">
        <f t="shared" si="106"/>
        <v>34.14</v>
      </c>
      <c r="E6829" s="11"/>
      <c r="F6829" s="9"/>
    </row>
    <row r="6830" s="1" customFormat="1" customHeight="1" spans="1:6">
      <c r="A6830" s="9" t="str">
        <f>"10070522818"</f>
        <v>10070522818</v>
      </c>
      <c r="B6830" s="10">
        <v>0</v>
      </c>
      <c r="C6830" s="9"/>
      <c r="D6830" s="9">
        <f t="shared" si="106"/>
        <v>0</v>
      </c>
      <c r="E6830" s="11"/>
      <c r="F6830" s="9" t="s">
        <v>7</v>
      </c>
    </row>
    <row r="6831" s="1" customFormat="1" customHeight="1" spans="1:6">
      <c r="A6831" s="9" t="str">
        <f>"10270522819"</f>
        <v>10270522819</v>
      </c>
      <c r="B6831" s="10">
        <v>0</v>
      </c>
      <c r="C6831" s="9"/>
      <c r="D6831" s="9">
        <f t="shared" si="106"/>
        <v>0</v>
      </c>
      <c r="E6831" s="11"/>
      <c r="F6831" s="9" t="s">
        <v>7</v>
      </c>
    </row>
    <row r="6832" s="1" customFormat="1" customHeight="1" spans="1:6">
      <c r="A6832" s="9" t="str">
        <f>"10370522820"</f>
        <v>10370522820</v>
      </c>
      <c r="B6832" s="10">
        <v>0</v>
      </c>
      <c r="C6832" s="9"/>
      <c r="D6832" s="9">
        <f t="shared" si="106"/>
        <v>0</v>
      </c>
      <c r="E6832" s="11"/>
      <c r="F6832" s="9" t="s">
        <v>7</v>
      </c>
    </row>
    <row r="6833" s="1" customFormat="1" customHeight="1" spans="1:6">
      <c r="A6833" s="9" t="str">
        <f>"10360522821"</f>
        <v>10360522821</v>
      </c>
      <c r="B6833" s="10">
        <v>38.84</v>
      </c>
      <c r="C6833" s="9"/>
      <c r="D6833" s="9">
        <f t="shared" si="106"/>
        <v>38.84</v>
      </c>
      <c r="E6833" s="11"/>
      <c r="F6833" s="9"/>
    </row>
    <row r="6834" s="1" customFormat="1" customHeight="1" spans="1:6">
      <c r="A6834" s="9" t="str">
        <f>"10380522822"</f>
        <v>10380522822</v>
      </c>
      <c r="B6834" s="10">
        <v>41.47</v>
      </c>
      <c r="C6834" s="9"/>
      <c r="D6834" s="9">
        <f t="shared" si="106"/>
        <v>41.47</v>
      </c>
      <c r="E6834" s="11"/>
      <c r="F6834" s="9"/>
    </row>
    <row r="6835" s="1" customFormat="1" customHeight="1" spans="1:6">
      <c r="A6835" s="9" t="str">
        <f>"10130522823"</f>
        <v>10130522823</v>
      </c>
      <c r="B6835" s="10">
        <v>0</v>
      </c>
      <c r="C6835" s="9"/>
      <c r="D6835" s="9">
        <f t="shared" si="106"/>
        <v>0</v>
      </c>
      <c r="E6835" s="11"/>
      <c r="F6835" s="9" t="s">
        <v>7</v>
      </c>
    </row>
    <row r="6836" s="1" customFormat="1" customHeight="1" spans="1:6">
      <c r="A6836" s="9" t="str">
        <f>"10080522824"</f>
        <v>10080522824</v>
      </c>
      <c r="B6836" s="10">
        <v>0</v>
      </c>
      <c r="C6836" s="9"/>
      <c r="D6836" s="9">
        <f t="shared" si="106"/>
        <v>0</v>
      </c>
      <c r="E6836" s="11"/>
      <c r="F6836" s="9" t="s">
        <v>7</v>
      </c>
    </row>
    <row r="6837" s="1" customFormat="1" customHeight="1" spans="1:6">
      <c r="A6837" s="9" t="str">
        <f>"10360522825"</f>
        <v>10360522825</v>
      </c>
      <c r="B6837" s="10">
        <v>42.4</v>
      </c>
      <c r="C6837" s="9"/>
      <c r="D6837" s="9">
        <f t="shared" si="106"/>
        <v>42.4</v>
      </c>
      <c r="E6837" s="11"/>
      <c r="F6837" s="9"/>
    </row>
    <row r="6838" s="1" customFormat="1" customHeight="1" spans="1:6">
      <c r="A6838" s="9" t="str">
        <f>"10180522826"</f>
        <v>10180522826</v>
      </c>
      <c r="B6838" s="10">
        <v>42.63</v>
      </c>
      <c r="C6838" s="9"/>
      <c r="D6838" s="9">
        <f t="shared" si="106"/>
        <v>42.63</v>
      </c>
      <c r="E6838" s="11"/>
      <c r="F6838" s="9"/>
    </row>
    <row r="6839" s="1" customFormat="1" customHeight="1" spans="1:6">
      <c r="A6839" s="9" t="str">
        <f>"10070522827"</f>
        <v>10070522827</v>
      </c>
      <c r="B6839" s="10">
        <v>0</v>
      </c>
      <c r="C6839" s="9"/>
      <c r="D6839" s="9">
        <f t="shared" si="106"/>
        <v>0</v>
      </c>
      <c r="E6839" s="11"/>
      <c r="F6839" s="9" t="s">
        <v>7</v>
      </c>
    </row>
    <row r="6840" s="1" customFormat="1" customHeight="1" spans="1:6">
      <c r="A6840" s="9" t="str">
        <f>"10090522828"</f>
        <v>10090522828</v>
      </c>
      <c r="B6840" s="10">
        <v>47.43</v>
      </c>
      <c r="C6840" s="9"/>
      <c r="D6840" s="9">
        <f t="shared" si="106"/>
        <v>47.43</v>
      </c>
      <c r="E6840" s="11"/>
      <c r="F6840" s="9"/>
    </row>
    <row r="6841" s="1" customFormat="1" customHeight="1" spans="1:6">
      <c r="A6841" s="9" t="str">
        <f>"10410522829"</f>
        <v>10410522829</v>
      </c>
      <c r="B6841" s="10">
        <v>0</v>
      </c>
      <c r="C6841" s="9"/>
      <c r="D6841" s="9">
        <f t="shared" si="106"/>
        <v>0</v>
      </c>
      <c r="E6841" s="11"/>
      <c r="F6841" s="9" t="s">
        <v>7</v>
      </c>
    </row>
    <row r="6842" s="1" customFormat="1" customHeight="1" spans="1:6">
      <c r="A6842" s="9" t="str">
        <f>"10410522830"</f>
        <v>10410522830</v>
      </c>
      <c r="B6842" s="10">
        <v>45.58</v>
      </c>
      <c r="C6842" s="9"/>
      <c r="D6842" s="9">
        <f t="shared" si="106"/>
        <v>45.58</v>
      </c>
      <c r="E6842" s="11"/>
      <c r="F6842" s="9"/>
    </row>
    <row r="6843" s="1" customFormat="1" customHeight="1" spans="1:6">
      <c r="A6843" s="9" t="str">
        <f>"10530522901"</f>
        <v>10530522901</v>
      </c>
      <c r="B6843" s="10">
        <v>0</v>
      </c>
      <c r="C6843" s="9"/>
      <c r="D6843" s="9">
        <f t="shared" si="106"/>
        <v>0</v>
      </c>
      <c r="E6843" s="11"/>
      <c r="F6843" s="9" t="s">
        <v>7</v>
      </c>
    </row>
    <row r="6844" s="1" customFormat="1" customHeight="1" spans="1:6">
      <c r="A6844" s="9" t="str">
        <f>"10490522902"</f>
        <v>10490522902</v>
      </c>
      <c r="B6844" s="10">
        <v>0</v>
      </c>
      <c r="C6844" s="9"/>
      <c r="D6844" s="9">
        <f t="shared" si="106"/>
        <v>0</v>
      </c>
      <c r="E6844" s="11"/>
      <c r="F6844" s="9" t="s">
        <v>7</v>
      </c>
    </row>
    <row r="6845" s="1" customFormat="1" customHeight="1" spans="1:6">
      <c r="A6845" s="9" t="str">
        <f>"10340522903"</f>
        <v>10340522903</v>
      </c>
      <c r="B6845" s="10">
        <v>44.58</v>
      </c>
      <c r="C6845" s="9"/>
      <c r="D6845" s="9">
        <f t="shared" si="106"/>
        <v>44.58</v>
      </c>
      <c r="E6845" s="11"/>
      <c r="F6845" s="9"/>
    </row>
    <row r="6846" s="1" customFormat="1" customHeight="1" spans="1:6">
      <c r="A6846" s="9" t="str">
        <f>"10330522904"</f>
        <v>10330522904</v>
      </c>
      <c r="B6846" s="10">
        <v>49</v>
      </c>
      <c r="C6846" s="9">
        <v>10</v>
      </c>
      <c r="D6846" s="9">
        <f t="shared" si="106"/>
        <v>59</v>
      </c>
      <c r="E6846" s="12" t="s">
        <v>8</v>
      </c>
      <c r="F6846" s="9"/>
    </row>
    <row r="6847" s="1" customFormat="1" customHeight="1" spans="1:6">
      <c r="A6847" s="9" t="str">
        <f>"10110522905"</f>
        <v>10110522905</v>
      </c>
      <c r="B6847" s="10">
        <v>43.23</v>
      </c>
      <c r="C6847" s="9"/>
      <c r="D6847" s="9">
        <f t="shared" si="106"/>
        <v>43.23</v>
      </c>
      <c r="E6847" s="11"/>
      <c r="F6847" s="9"/>
    </row>
    <row r="6848" s="1" customFormat="1" customHeight="1" spans="1:6">
      <c r="A6848" s="9" t="str">
        <f>"10360522906"</f>
        <v>10360522906</v>
      </c>
      <c r="B6848" s="10">
        <v>37.59</v>
      </c>
      <c r="C6848" s="9"/>
      <c r="D6848" s="9">
        <f t="shared" si="106"/>
        <v>37.59</v>
      </c>
      <c r="E6848" s="11"/>
      <c r="F6848" s="9"/>
    </row>
    <row r="6849" s="1" customFormat="1" customHeight="1" spans="1:6">
      <c r="A6849" s="9" t="str">
        <f>"10360522907"</f>
        <v>10360522907</v>
      </c>
      <c r="B6849" s="10">
        <v>31.13</v>
      </c>
      <c r="C6849" s="9"/>
      <c r="D6849" s="9">
        <f t="shared" si="106"/>
        <v>31.13</v>
      </c>
      <c r="E6849" s="11"/>
      <c r="F6849" s="9"/>
    </row>
    <row r="6850" s="1" customFormat="1" customHeight="1" spans="1:6">
      <c r="A6850" s="9" t="str">
        <f>"10500522908"</f>
        <v>10500522908</v>
      </c>
      <c r="B6850" s="10">
        <v>0</v>
      </c>
      <c r="C6850" s="9"/>
      <c r="D6850" s="9">
        <f t="shared" si="106"/>
        <v>0</v>
      </c>
      <c r="E6850" s="11"/>
      <c r="F6850" s="9" t="s">
        <v>7</v>
      </c>
    </row>
    <row r="6851" s="1" customFormat="1" customHeight="1" spans="1:6">
      <c r="A6851" s="9" t="str">
        <f>"10450522909"</f>
        <v>10450522909</v>
      </c>
      <c r="B6851" s="10">
        <v>41.74</v>
      </c>
      <c r="C6851" s="9"/>
      <c r="D6851" s="9">
        <f t="shared" ref="D6851:D6914" si="107">SUM(B6851:C6851)</f>
        <v>41.74</v>
      </c>
      <c r="E6851" s="11"/>
      <c r="F6851" s="9"/>
    </row>
    <row r="6852" s="1" customFormat="1" customHeight="1" spans="1:6">
      <c r="A6852" s="9" t="str">
        <f>"10360522910"</f>
        <v>10360522910</v>
      </c>
      <c r="B6852" s="10">
        <v>38.51</v>
      </c>
      <c r="C6852" s="9"/>
      <c r="D6852" s="9">
        <f t="shared" si="107"/>
        <v>38.51</v>
      </c>
      <c r="E6852" s="11"/>
      <c r="F6852" s="9"/>
    </row>
    <row r="6853" s="1" customFormat="1" customHeight="1" spans="1:6">
      <c r="A6853" s="9" t="str">
        <f>"10360522911"</f>
        <v>10360522911</v>
      </c>
      <c r="B6853" s="10">
        <v>0</v>
      </c>
      <c r="C6853" s="9"/>
      <c r="D6853" s="9">
        <f t="shared" si="107"/>
        <v>0</v>
      </c>
      <c r="E6853" s="11"/>
      <c r="F6853" s="9" t="s">
        <v>7</v>
      </c>
    </row>
    <row r="6854" s="1" customFormat="1" customHeight="1" spans="1:6">
      <c r="A6854" s="9" t="str">
        <f>"10060522912"</f>
        <v>10060522912</v>
      </c>
      <c r="B6854" s="10">
        <v>35.17</v>
      </c>
      <c r="C6854" s="9"/>
      <c r="D6854" s="9">
        <f t="shared" si="107"/>
        <v>35.17</v>
      </c>
      <c r="E6854" s="11"/>
      <c r="F6854" s="9"/>
    </row>
    <row r="6855" s="1" customFormat="1" customHeight="1" spans="1:6">
      <c r="A6855" s="9" t="str">
        <f>"10440522913"</f>
        <v>10440522913</v>
      </c>
      <c r="B6855" s="10">
        <v>0</v>
      </c>
      <c r="C6855" s="9"/>
      <c r="D6855" s="9">
        <f t="shared" si="107"/>
        <v>0</v>
      </c>
      <c r="E6855" s="11"/>
      <c r="F6855" s="9" t="s">
        <v>7</v>
      </c>
    </row>
    <row r="6856" s="1" customFormat="1" customHeight="1" spans="1:6">
      <c r="A6856" s="9" t="str">
        <f>"10490522914"</f>
        <v>10490522914</v>
      </c>
      <c r="B6856" s="10">
        <v>36.8</v>
      </c>
      <c r="C6856" s="9"/>
      <c r="D6856" s="9">
        <f t="shared" si="107"/>
        <v>36.8</v>
      </c>
      <c r="E6856" s="11"/>
      <c r="F6856" s="9"/>
    </row>
    <row r="6857" s="1" customFormat="1" customHeight="1" spans="1:6">
      <c r="A6857" s="9" t="str">
        <f>"10510522915"</f>
        <v>10510522915</v>
      </c>
      <c r="B6857" s="10">
        <v>42.11</v>
      </c>
      <c r="C6857" s="9"/>
      <c r="D6857" s="9">
        <f t="shared" si="107"/>
        <v>42.11</v>
      </c>
      <c r="E6857" s="11"/>
      <c r="F6857" s="9"/>
    </row>
    <row r="6858" s="1" customFormat="1" customHeight="1" spans="1:6">
      <c r="A6858" s="9" t="str">
        <f>"10330522916"</f>
        <v>10330522916</v>
      </c>
      <c r="B6858" s="10">
        <v>0</v>
      </c>
      <c r="C6858" s="9"/>
      <c r="D6858" s="9">
        <f t="shared" si="107"/>
        <v>0</v>
      </c>
      <c r="E6858" s="11"/>
      <c r="F6858" s="9" t="s">
        <v>7</v>
      </c>
    </row>
    <row r="6859" s="1" customFormat="1" customHeight="1" spans="1:6">
      <c r="A6859" s="9" t="str">
        <f>"10110522917"</f>
        <v>10110522917</v>
      </c>
      <c r="B6859" s="10">
        <v>0</v>
      </c>
      <c r="C6859" s="9"/>
      <c r="D6859" s="9">
        <f t="shared" si="107"/>
        <v>0</v>
      </c>
      <c r="E6859" s="11"/>
      <c r="F6859" s="9" t="s">
        <v>7</v>
      </c>
    </row>
    <row r="6860" s="1" customFormat="1" customHeight="1" spans="1:6">
      <c r="A6860" s="9" t="str">
        <f>"10080522918"</f>
        <v>10080522918</v>
      </c>
      <c r="B6860" s="10">
        <v>0</v>
      </c>
      <c r="C6860" s="9"/>
      <c r="D6860" s="9">
        <f t="shared" si="107"/>
        <v>0</v>
      </c>
      <c r="E6860" s="11"/>
      <c r="F6860" s="9" t="s">
        <v>7</v>
      </c>
    </row>
    <row r="6861" s="1" customFormat="1" customHeight="1" spans="1:6">
      <c r="A6861" s="9" t="str">
        <f>"10290522919"</f>
        <v>10290522919</v>
      </c>
      <c r="B6861" s="10">
        <v>49.66</v>
      </c>
      <c r="C6861" s="9"/>
      <c r="D6861" s="9">
        <f t="shared" si="107"/>
        <v>49.66</v>
      </c>
      <c r="E6861" s="11"/>
      <c r="F6861" s="9"/>
    </row>
    <row r="6862" s="1" customFormat="1" customHeight="1" spans="1:6">
      <c r="A6862" s="9" t="str">
        <f>"10020522920"</f>
        <v>10020522920</v>
      </c>
      <c r="B6862" s="10">
        <v>0</v>
      </c>
      <c r="C6862" s="9"/>
      <c r="D6862" s="9">
        <f t="shared" si="107"/>
        <v>0</v>
      </c>
      <c r="E6862" s="11"/>
      <c r="F6862" s="9" t="s">
        <v>7</v>
      </c>
    </row>
    <row r="6863" s="1" customFormat="1" customHeight="1" spans="1:6">
      <c r="A6863" s="9" t="str">
        <f>"10210522921"</f>
        <v>10210522921</v>
      </c>
      <c r="B6863" s="10">
        <v>40.84</v>
      </c>
      <c r="C6863" s="9"/>
      <c r="D6863" s="9">
        <f t="shared" si="107"/>
        <v>40.84</v>
      </c>
      <c r="E6863" s="11"/>
      <c r="F6863" s="9"/>
    </row>
    <row r="6864" s="1" customFormat="1" customHeight="1" spans="1:6">
      <c r="A6864" s="9" t="str">
        <f>"10210522922"</f>
        <v>10210522922</v>
      </c>
      <c r="B6864" s="10">
        <v>38.11</v>
      </c>
      <c r="C6864" s="9"/>
      <c r="D6864" s="9">
        <f t="shared" si="107"/>
        <v>38.11</v>
      </c>
      <c r="E6864" s="11"/>
      <c r="F6864" s="9"/>
    </row>
    <row r="6865" s="1" customFormat="1" customHeight="1" spans="1:6">
      <c r="A6865" s="9" t="str">
        <f>"10510522923"</f>
        <v>10510522923</v>
      </c>
      <c r="B6865" s="10">
        <v>40.09</v>
      </c>
      <c r="C6865" s="9"/>
      <c r="D6865" s="9">
        <f t="shared" si="107"/>
        <v>40.09</v>
      </c>
      <c r="E6865" s="11"/>
      <c r="F6865" s="9"/>
    </row>
    <row r="6866" s="1" customFormat="1" customHeight="1" spans="1:6">
      <c r="A6866" s="9" t="str">
        <f>"10380522924"</f>
        <v>10380522924</v>
      </c>
      <c r="B6866" s="10">
        <v>41.61</v>
      </c>
      <c r="C6866" s="9"/>
      <c r="D6866" s="9">
        <f t="shared" si="107"/>
        <v>41.61</v>
      </c>
      <c r="E6866" s="11"/>
      <c r="F6866" s="9"/>
    </row>
    <row r="6867" s="1" customFormat="1" customHeight="1" spans="1:6">
      <c r="A6867" s="9" t="str">
        <f>"10060522925"</f>
        <v>10060522925</v>
      </c>
      <c r="B6867" s="10">
        <v>43.46</v>
      </c>
      <c r="C6867" s="9"/>
      <c r="D6867" s="9">
        <f t="shared" si="107"/>
        <v>43.46</v>
      </c>
      <c r="E6867" s="11"/>
      <c r="F6867" s="9"/>
    </row>
    <row r="6868" s="1" customFormat="1" customHeight="1" spans="1:6">
      <c r="A6868" s="9" t="str">
        <f>"10520522926"</f>
        <v>10520522926</v>
      </c>
      <c r="B6868" s="10">
        <v>26.92</v>
      </c>
      <c r="C6868" s="9">
        <v>10</v>
      </c>
      <c r="D6868" s="9">
        <f t="shared" si="107"/>
        <v>36.92</v>
      </c>
      <c r="E6868" s="12" t="s">
        <v>8</v>
      </c>
      <c r="F6868" s="9"/>
    </row>
    <row r="6869" s="1" customFormat="1" customHeight="1" spans="1:6">
      <c r="A6869" s="9" t="str">
        <f>"10300522927"</f>
        <v>10300522927</v>
      </c>
      <c r="B6869" s="10">
        <v>36.32</v>
      </c>
      <c r="C6869" s="9"/>
      <c r="D6869" s="9">
        <f t="shared" si="107"/>
        <v>36.32</v>
      </c>
      <c r="E6869" s="11"/>
      <c r="F6869" s="9"/>
    </row>
    <row r="6870" s="1" customFormat="1" customHeight="1" spans="1:6">
      <c r="A6870" s="9" t="str">
        <f>"10530522928"</f>
        <v>10530522928</v>
      </c>
      <c r="B6870" s="10">
        <v>27.49</v>
      </c>
      <c r="C6870" s="9"/>
      <c r="D6870" s="9">
        <f t="shared" si="107"/>
        <v>27.49</v>
      </c>
      <c r="E6870" s="11"/>
      <c r="F6870" s="9"/>
    </row>
    <row r="6871" s="1" customFormat="1" customHeight="1" spans="1:6">
      <c r="A6871" s="9" t="str">
        <f>"10360522929"</f>
        <v>10360522929</v>
      </c>
      <c r="B6871" s="10">
        <v>0</v>
      </c>
      <c r="C6871" s="9"/>
      <c r="D6871" s="9">
        <f t="shared" si="107"/>
        <v>0</v>
      </c>
      <c r="E6871" s="11"/>
      <c r="F6871" s="9" t="s">
        <v>7</v>
      </c>
    </row>
    <row r="6872" s="1" customFormat="1" customHeight="1" spans="1:6">
      <c r="A6872" s="9" t="str">
        <f>"10020522930"</f>
        <v>10020522930</v>
      </c>
      <c r="B6872" s="10">
        <v>0</v>
      </c>
      <c r="C6872" s="9"/>
      <c r="D6872" s="9">
        <f t="shared" si="107"/>
        <v>0</v>
      </c>
      <c r="E6872" s="11"/>
      <c r="F6872" s="9" t="s">
        <v>7</v>
      </c>
    </row>
    <row r="6873" s="1" customFormat="1" customHeight="1" spans="1:6">
      <c r="A6873" s="9" t="str">
        <f>"10330523001"</f>
        <v>10330523001</v>
      </c>
      <c r="B6873" s="10">
        <v>36.9</v>
      </c>
      <c r="C6873" s="9"/>
      <c r="D6873" s="9">
        <f t="shared" si="107"/>
        <v>36.9</v>
      </c>
      <c r="E6873" s="11"/>
      <c r="F6873" s="9"/>
    </row>
    <row r="6874" s="1" customFormat="1" customHeight="1" spans="1:6">
      <c r="A6874" s="9" t="str">
        <f>"10010523002"</f>
        <v>10010523002</v>
      </c>
      <c r="B6874" s="10">
        <v>0</v>
      </c>
      <c r="C6874" s="9"/>
      <c r="D6874" s="9">
        <f t="shared" si="107"/>
        <v>0</v>
      </c>
      <c r="E6874" s="11"/>
      <c r="F6874" s="9" t="s">
        <v>7</v>
      </c>
    </row>
    <row r="6875" s="1" customFormat="1" customHeight="1" spans="1:6">
      <c r="A6875" s="9" t="str">
        <f>"10360523003"</f>
        <v>10360523003</v>
      </c>
      <c r="B6875" s="10">
        <v>0</v>
      </c>
      <c r="C6875" s="9"/>
      <c r="D6875" s="9">
        <f t="shared" si="107"/>
        <v>0</v>
      </c>
      <c r="E6875" s="11"/>
      <c r="F6875" s="9" t="s">
        <v>7</v>
      </c>
    </row>
    <row r="6876" s="1" customFormat="1" customHeight="1" spans="1:6">
      <c r="A6876" s="9" t="str">
        <f>"10210523004"</f>
        <v>10210523004</v>
      </c>
      <c r="B6876" s="10">
        <v>0</v>
      </c>
      <c r="C6876" s="9"/>
      <c r="D6876" s="9">
        <f t="shared" si="107"/>
        <v>0</v>
      </c>
      <c r="E6876" s="11"/>
      <c r="F6876" s="9" t="s">
        <v>7</v>
      </c>
    </row>
    <row r="6877" s="1" customFormat="1" customHeight="1" spans="1:6">
      <c r="A6877" s="9" t="str">
        <f>"10440523005"</f>
        <v>10440523005</v>
      </c>
      <c r="B6877" s="10">
        <v>0</v>
      </c>
      <c r="C6877" s="9"/>
      <c r="D6877" s="9">
        <f t="shared" si="107"/>
        <v>0</v>
      </c>
      <c r="E6877" s="11"/>
      <c r="F6877" s="9" t="s">
        <v>7</v>
      </c>
    </row>
    <row r="6878" s="1" customFormat="1" customHeight="1" spans="1:6">
      <c r="A6878" s="9" t="str">
        <f>"10530523006"</f>
        <v>10530523006</v>
      </c>
      <c r="B6878" s="10">
        <v>0</v>
      </c>
      <c r="C6878" s="9"/>
      <c r="D6878" s="9">
        <f t="shared" si="107"/>
        <v>0</v>
      </c>
      <c r="E6878" s="11"/>
      <c r="F6878" s="9" t="s">
        <v>7</v>
      </c>
    </row>
    <row r="6879" s="1" customFormat="1" customHeight="1" spans="1:6">
      <c r="A6879" s="9" t="str">
        <f>"10360523007"</f>
        <v>10360523007</v>
      </c>
      <c r="B6879" s="10">
        <v>39.85</v>
      </c>
      <c r="C6879" s="9"/>
      <c r="D6879" s="9">
        <f t="shared" si="107"/>
        <v>39.85</v>
      </c>
      <c r="E6879" s="11"/>
      <c r="F6879" s="9"/>
    </row>
    <row r="6880" s="1" customFormat="1" customHeight="1" spans="1:6">
      <c r="A6880" s="9" t="str">
        <f>"10520523008"</f>
        <v>10520523008</v>
      </c>
      <c r="B6880" s="10">
        <v>40.62</v>
      </c>
      <c r="C6880" s="9"/>
      <c r="D6880" s="9">
        <f t="shared" si="107"/>
        <v>40.62</v>
      </c>
      <c r="E6880" s="11"/>
      <c r="F6880" s="9"/>
    </row>
    <row r="6881" s="1" customFormat="1" customHeight="1" spans="1:6">
      <c r="A6881" s="9" t="str">
        <f>"10440523009"</f>
        <v>10440523009</v>
      </c>
      <c r="B6881" s="10">
        <v>0</v>
      </c>
      <c r="C6881" s="9"/>
      <c r="D6881" s="9">
        <f t="shared" si="107"/>
        <v>0</v>
      </c>
      <c r="E6881" s="11"/>
      <c r="F6881" s="9" t="s">
        <v>7</v>
      </c>
    </row>
    <row r="6882" s="1" customFormat="1" customHeight="1" spans="1:6">
      <c r="A6882" s="9" t="str">
        <f>"10300523010"</f>
        <v>10300523010</v>
      </c>
      <c r="B6882" s="10">
        <v>42.5</v>
      </c>
      <c r="C6882" s="9"/>
      <c r="D6882" s="9">
        <f t="shared" si="107"/>
        <v>42.5</v>
      </c>
      <c r="E6882" s="11"/>
      <c r="F6882" s="9"/>
    </row>
    <row r="6883" s="1" customFormat="1" customHeight="1" spans="1:6">
      <c r="A6883" s="9" t="str">
        <f>"10080523011"</f>
        <v>10080523011</v>
      </c>
      <c r="B6883" s="10">
        <v>37.69</v>
      </c>
      <c r="C6883" s="9"/>
      <c r="D6883" s="9">
        <f t="shared" si="107"/>
        <v>37.69</v>
      </c>
      <c r="E6883" s="11"/>
      <c r="F6883" s="9"/>
    </row>
    <row r="6884" s="1" customFormat="1" customHeight="1" spans="1:6">
      <c r="A6884" s="9" t="str">
        <f>"10450523012"</f>
        <v>10450523012</v>
      </c>
      <c r="B6884" s="10">
        <v>42.5</v>
      </c>
      <c r="C6884" s="9"/>
      <c r="D6884" s="9">
        <f t="shared" si="107"/>
        <v>42.5</v>
      </c>
      <c r="E6884" s="11"/>
      <c r="F6884" s="9"/>
    </row>
    <row r="6885" s="1" customFormat="1" customHeight="1" spans="1:6">
      <c r="A6885" s="9" t="str">
        <f>"10210523013"</f>
        <v>10210523013</v>
      </c>
      <c r="B6885" s="10">
        <v>0</v>
      </c>
      <c r="C6885" s="9"/>
      <c r="D6885" s="9">
        <f t="shared" si="107"/>
        <v>0</v>
      </c>
      <c r="E6885" s="11"/>
      <c r="F6885" s="9" t="s">
        <v>7</v>
      </c>
    </row>
    <row r="6886" s="1" customFormat="1" customHeight="1" spans="1:6">
      <c r="A6886" s="9" t="str">
        <f>"10270523014"</f>
        <v>10270523014</v>
      </c>
      <c r="B6886" s="10">
        <v>49.15</v>
      </c>
      <c r="C6886" s="9"/>
      <c r="D6886" s="9">
        <f t="shared" si="107"/>
        <v>49.15</v>
      </c>
      <c r="E6886" s="11"/>
      <c r="F6886" s="9"/>
    </row>
    <row r="6887" s="1" customFormat="1" customHeight="1" spans="1:6">
      <c r="A6887" s="9" t="str">
        <f>"10210523015"</f>
        <v>10210523015</v>
      </c>
      <c r="B6887" s="10">
        <v>0</v>
      </c>
      <c r="C6887" s="9"/>
      <c r="D6887" s="9">
        <f t="shared" si="107"/>
        <v>0</v>
      </c>
      <c r="E6887" s="11"/>
      <c r="F6887" s="9" t="s">
        <v>7</v>
      </c>
    </row>
    <row r="6888" s="1" customFormat="1" customHeight="1" spans="1:6">
      <c r="A6888" s="9" t="str">
        <f>"10530523016"</f>
        <v>10530523016</v>
      </c>
      <c r="B6888" s="10">
        <v>38.24</v>
      </c>
      <c r="C6888" s="9"/>
      <c r="D6888" s="9">
        <f t="shared" si="107"/>
        <v>38.24</v>
      </c>
      <c r="E6888" s="11"/>
      <c r="F6888" s="9"/>
    </row>
    <row r="6889" s="1" customFormat="1" customHeight="1" spans="1:6">
      <c r="A6889" s="9" t="str">
        <f>"10210523017"</f>
        <v>10210523017</v>
      </c>
      <c r="B6889" s="10">
        <v>36.11</v>
      </c>
      <c r="C6889" s="9"/>
      <c r="D6889" s="9">
        <f t="shared" si="107"/>
        <v>36.11</v>
      </c>
      <c r="E6889" s="11"/>
      <c r="F6889" s="9"/>
    </row>
    <row r="6890" s="1" customFormat="1" customHeight="1" spans="1:6">
      <c r="A6890" s="9" t="str">
        <f>"10020523018"</f>
        <v>10020523018</v>
      </c>
      <c r="B6890" s="10">
        <v>32.48</v>
      </c>
      <c r="C6890" s="9"/>
      <c r="D6890" s="9">
        <f t="shared" si="107"/>
        <v>32.48</v>
      </c>
      <c r="E6890" s="11"/>
      <c r="F6890" s="9"/>
    </row>
    <row r="6891" s="1" customFormat="1" customHeight="1" spans="1:6">
      <c r="A6891" s="9" t="str">
        <f>"10520523019"</f>
        <v>10520523019</v>
      </c>
      <c r="B6891" s="10">
        <v>0</v>
      </c>
      <c r="C6891" s="9"/>
      <c r="D6891" s="9">
        <f t="shared" si="107"/>
        <v>0</v>
      </c>
      <c r="E6891" s="11"/>
      <c r="F6891" s="9" t="s">
        <v>7</v>
      </c>
    </row>
    <row r="6892" s="1" customFormat="1" customHeight="1" spans="1:6">
      <c r="A6892" s="9" t="str">
        <f>"10280523020"</f>
        <v>10280523020</v>
      </c>
      <c r="B6892" s="10">
        <v>0</v>
      </c>
      <c r="C6892" s="9"/>
      <c r="D6892" s="9">
        <f t="shared" si="107"/>
        <v>0</v>
      </c>
      <c r="E6892" s="11"/>
      <c r="F6892" s="9" t="s">
        <v>7</v>
      </c>
    </row>
    <row r="6893" s="1" customFormat="1" customHeight="1" spans="1:6">
      <c r="A6893" s="9" t="str">
        <f>"10490523021"</f>
        <v>10490523021</v>
      </c>
      <c r="B6893" s="10">
        <v>41.86</v>
      </c>
      <c r="C6893" s="9"/>
      <c r="D6893" s="9">
        <f t="shared" si="107"/>
        <v>41.86</v>
      </c>
      <c r="E6893" s="11"/>
      <c r="F6893" s="9"/>
    </row>
    <row r="6894" s="1" customFormat="1" customHeight="1" spans="1:6">
      <c r="A6894" s="9" t="str">
        <f>"10510523022"</f>
        <v>10510523022</v>
      </c>
      <c r="B6894" s="10">
        <v>0</v>
      </c>
      <c r="C6894" s="9"/>
      <c r="D6894" s="9">
        <f t="shared" si="107"/>
        <v>0</v>
      </c>
      <c r="E6894" s="11"/>
      <c r="F6894" s="9" t="s">
        <v>7</v>
      </c>
    </row>
    <row r="6895" s="1" customFormat="1" customHeight="1" spans="1:6">
      <c r="A6895" s="9" t="str">
        <f>"10330523023"</f>
        <v>10330523023</v>
      </c>
      <c r="B6895" s="10">
        <v>36.8</v>
      </c>
      <c r="C6895" s="9"/>
      <c r="D6895" s="9">
        <f t="shared" si="107"/>
        <v>36.8</v>
      </c>
      <c r="E6895" s="11"/>
      <c r="F6895" s="9"/>
    </row>
    <row r="6896" s="1" customFormat="1" customHeight="1" spans="1:6">
      <c r="A6896" s="9" t="str">
        <f>"10530523024"</f>
        <v>10530523024</v>
      </c>
      <c r="B6896" s="10">
        <v>40.62</v>
      </c>
      <c r="C6896" s="9"/>
      <c r="D6896" s="9">
        <f t="shared" si="107"/>
        <v>40.62</v>
      </c>
      <c r="E6896" s="11"/>
      <c r="F6896" s="9"/>
    </row>
    <row r="6897" s="1" customFormat="1" customHeight="1" spans="1:6">
      <c r="A6897" s="9" t="str">
        <f>"10140523025"</f>
        <v>10140523025</v>
      </c>
      <c r="B6897" s="10">
        <v>0</v>
      </c>
      <c r="C6897" s="9"/>
      <c r="D6897" s="9">
        <f t="shared" si="107"/>
        <v>0</v>
      </c>
      <c r="E6897" s="11"/>
      <c r="F6897" s="9" t="s">
        <v>7</v>
      </c>
    </row>
    <row r="6898" s="1" customFormat="1" customHeight="1" spans="1:6">
      <c r="A6898" s="9" t="str">
        <f>"10080523026"</f>
        <v>10080523026</v>
      </c>
      <c r="B6898" s="10">
        <v>47.38</v>
      </c>
      <c r="C6898" s="9"/>
      <c r="D6898" s="9">
        <f t="shared" si="107"/>
        <v>47.38</v>
      </c>
      <c r="E6898" s="11"/>
      <c r="F6898" s="9"/>
    </row>
    <row r="6899" s="1" customFormat="1" customHeight="1" spans="1:6">
      <c r="A6899" s="9" t="str">
        <f>"10210523027"</f>
        <v>10210523027</v>
      </c>
      <c r="B6899" s="10">
        <v>42.69</v>
      </c>
      <c r="C6899" s="9"/>
      <c r="D6899" s="9">
        <f t="shared" si="107"/>
        <v>42.69</v>
      </c>
      <c r="E6899" s="11"/>
      <c r="F6899" s="9"/>
    </row>
    <row r="6900" s="1" customFormat="1" customHeight="1" spans="1:6">
      <c r="A6900" s="9" t="str">
        <f>"10500523028"</f>
        <v>10500523028</v>
      </c>
      <c r="B6900" s="10">
        <v>37.62</v>
      </c>
      <c r="C6900" s="9"/>
      <c r="D6900" s="9">
        <f t="shared" si="107"/>
        <v>37.62</v>
      </c>
      <c r="E6900" s="11"/>
      <c r="F6900" s="9"/>
    </row>
    <row r="6901" s="1" customFormat="1" customHeight="1" spans="1:6">
      <c r="A6901" s="9" t="str">
        <f>"10110523029"</f>
        <v>10110523029</v>
      </c>
      <c r="B6901" s="10">
        <v>0</v>
      </c>
      <c r="C6901" s="9"/>
      <c r="D6901" s="9">
        <f t="shared" si="107"/>
        <v>0</v>
      </c>
      <c r="E6901" s="11"/>
      <c r="F6901" s="9" t="s">
        <v>7</v>
      </c>
    </row>
    <row r="6902" s="1" customFormat="1" customHeight="1" spans="1:6">
      <c r="A6902" s="9" t="str">
        <f>"10400523030"</f>
        <v>10400523030</v>
      </c>
      <c r="B6902" s="10">
        <v>31.82</v>
      </c>
      <c r="C6902" s="9"/>
      <c r="D6902" s="9">
        <f t="shared" si="107"/>
        <v>31.82</v>
      </c>
      <c r="E6902" s="11"/>
      <c r="F6902" s="9"/>
    </row>
    <row r="6903" s="1" customFormat="1" customHeight="1" spans="1:6">
      <c r="A6903" s="9" t="str">
        <f>"10230523101"</f>
        <v>10230523101</v>
      </c>
      <c r="B6903" s="10">
        <v>49.85</v>
      </c>
      <c r="C6903" s="9"/>
      <c r="D6903" s="9">
        <f t="shared" si="107"/>
        <v>49.85</v>
      </c>
      <c r="E6903" s="11"/>
      <c r="F6903" s="9"/>
    </row>
    <row r="6904" s="1" customFormat="1" customHeight="1" spans="1:6">
      <c r="A6904" s="9" t="str">
        <f>"10290523102"</f>
        <v>10290523102</v>
      </c>
      <c r="B6904" s="10">
        <v>40.84</v>
      </c>
      <c r="C6904" s="9"/>
      <c r="D6904" s="9">
        <f t="shared" si="107"/>
        <v>40.84</v>
      </c>
      <c r="E6904" s="11"/>
      <c r="F6904" s="9"/>
    </row>
    <row r="6905" s="1" customFormat="1" customHeight="1" spans="1:6">
      <c r="A6905" s="9" t="str">
        <f>"10530523103"</f>
        <v>10530523103</v>
      </c>
      <c r="B6905" s="10">
        <v>34.44</v>
      </c>
      <c r="C6905" s="9"/>
      <c r="D6905" s="9">
        <f t="shared" si="107"/>
        <v>34.44</v>
      </c>
      <c r="E6905" s="11"/>
      <c r="F6905" s="9"/>
    </row>
    <row r="6906" s="1" customFormat="1" customHeight="1" spans="1:6">
      <c r="A6906" s="9" t="str">
        <f>"10130523104"</f>
        <v>10130523104</v>
      </c>
      <c r="B6906" s="10">
        <v>31.8</v>
      </c>
      <c r="C6906" s="9"/>
      <c r="D6906" s="9">
        <f t="shared" si="107"/>
        <v>31.8</v>
      </c>
      <c r="E6906" s="11"/>
      <c r="F6906" s="9"/>
    </row>
    <row r="6907" s="1" customFormat="1" customHeight="1" spans="1:6">
      <c r="A6907" s="9" t="str">
        <f>"20180523105"</f>
        <v>20180523105</v>
      </c>
      <c r="B6907" s="10">
        <v>40.47</v>
      </c>
      <c r="C6907" s="9"/>
      <c r="D6907" s="9">
        <f t="shared" si="107"/>
        <v>40.47</v>
      </c>
      <c r="E6907" s="11"/>
      <c r="F6907" s="9"/>
    </row>
    <row r="6908" s="1" customFormat="1" customHeight="1" spans="1:6">
      <c r="A6908" s="9" t="str">
        <f>"10300523106"</f>
        <v>10300523106</v>
      </c>
      <c r="B6908" s="10">
        <v>0</v>
      </c>
      <c r="C6908" s="9"/>
      <c r="D6908" s="9">
        <f t="shared" si="107"/>
        <v>0</v>
      </c>
      <c r="E6908" s="11"/>
      <c r="F6908" s="9" t="s">
        <v>7</v>
      </c>
    </row>
    <row r="6909" s="1" customFormat="1" customHeight="1" spans="1:6">
      <c r="A6909" s="9" t="str">
        <f>"10360523107"</f>
        <v>10360523107</v>
      </c>
      <c r="B6909" s="10">
        <v>38.7</v>
      </c>
      <c r="C6909" s="9"/>
      <c r="D6909" s="9">
        <f t="shared" si="107"/>
        <v>38.7</v>
      </c>
      <c r="E6909" s="11"/>
      <c r="F6909" s="9"/>
    </row>
    <row r="6910" s="1" customFormat="1" customHeight="1" spans="1:6">
      <c r="A6910" s="9" t="str">
        <f>"10060523108"</f>
        <v>10060523108</v>
      </c>
      <c r="B6910" s="10">
        <v>41.66</v>
      </c>
      <c r="C6910" s="9"/>
      <c r="D6910" s="9">
        <f t="shared" si="107"/>
        <v>41.66</v>
      </c>
      <c r="E6910" s="11"/>
      <c r="F6910" s="9"/>
    </row>
    <row r="6911" s="1" customFormat="1" customHeight="1" spans="1:6">
      <c r="A6911" s="9" t="str">
        <f>"10100523109"</f>
        <v>10100523109</v>
      </c>
      <c r="B6911" s="10">
        <v>40.36</v>
      </c>
      <c r="C6911" s="9"/>
      <c r="D6911" s="9">
        <f t="shared" si="107"/>
        <v>40.36</v>
      </c>
      <c r="E6911" s="11"/>
      <c r="F6911" s="9"/>
    </row>
    <row r="6912" s="1" customFormat="1" customHeight="1" spans="1:6">
      <c r="A6912" s="9" t="str">
        <f>"10110523110"</f>
        <v>10110523110</v>
      </c>
      <c r="B6912" s="10">
        <v>48.78</v>
      </c>
      <c r="C6912" s="9"/>
      <c r="D6912" s="9">
        <f t="shared" si="107"/>
        <v>48.78</v>
      </c>
      <c r="E6912" s="11"/>
      <c r="F6912" s="9"/>
    </row>
    <row r="6913" s="1" customFormat="1" customHeight="1" spans="1:6">
      <c r="A6913" s="9" t="str">
        <f>"10530523111"</f>
        <v>10530523111</v>
      </c>
      <c r="B6913" s="10">
        <v>36.02</v>
      </c>
      <c r="C6913" s="9"/>
      <c r="D6913" s="9">
        <f t="shared" si="107"/>
        <v>36.02</v>
      </c>
      <c r="E6913" s="11"/>
      <c r="F6913" s="9"/>
    </row>
    <row r="6914" s="1" customFormat="1" customHeight="1" spans="1:6">
      <c r="A6914" s="9" t="str">
        <f>"10440523112"</f>
        <v>10440523112</v>
      </c>
      <c r="B6914" s="10">
        <v>32.41</v>
      </c>
      <c r="C6914" s="9"/>
      <c r="D6914" s="9">
        <f t="shared" si="107"/>
        <v>32.41</v>
      </c>
      <c r="E6914" s="11"/>
      <c r="F6914" s="9"/>
    </row>
    <row r="6915" s="1" customFormat="1" customHeight="1" spans="1:6">
      <c r="A6915" s="9" t="str">
        <f>"10210523113"</f>
        <v>10210523113</v>
      </c>
      <c r="B6915" s="10">
        <v>0</v>
      </c>
      <c r="C6915" s="9"/>
      <c r="D6915" s="9">
        <f t="shared" ref="D6915:D6978" si="108">SUM(B6915:C6915)</f>
        <v>0</v>
      </c>
      <c r="E6915" s="11"/>
      <c r="F6915" s="9" t="s">
        <v>7</v>
      </c>
    </row>
    <row r="6916" s="1" customFormat="1" customHeight="1" spans="1:6">
      <c r="A6916" s="9" t="str">
        <f>"10060523114"</f>
        <v>10060523114</v>
      </c>
      <c r="B6916" s="10">
        <v>36.23</v>
      </c>
      <c r="C6916" s="9"/>
      <c r="D6916" s="9">
        <f t="shared" si="108"/>
        <v>36.23</v>
      </c>
      <c r="E6916" s="11"/>
      <c r="F6916" s="9"/>
    </row>
    <row r="6917" s="1" customFormat="1" customHeight="1" spans="1:6">
      <c r="A6917" s="9" t="str">
        <f>"10330523115"</f>
        <v>10330523115</v>
      </c>
      <c r="B6917" s="10">
        <v>0</v>
      </c>
      <c r="C6917" s="9">
        <v>10</v>
      </c>
      <c r="D6917" s="9">
        <f t="shared" si="108"/>
        <v>10</v>
      </c>
      <c r="E6917" s="12" t="s">
        <v>8</v>
      </c>
      <c r="F6917" s="9" t="s">
        <v>7</v>
      </c>
    </row>
    <row r="6918" s="1" customFormat="1" customHeight="1" spans="1:6">
      <c r="A6918" s="9" t="str">
        <f>"10240523116"</f>
        <v>10240523116</v>
      </c>
      <c r="B6918" s="10">
        <v>41.95</v>
      </c>
      <c r="C6918" s="9"/>
      <c r="D6918" s="9">
        <f t="shared" si="108"/>
        <v>41.95</v>
      </c>
      <c r="E6918" s="11"/>
      <c r="F6918" s="9"/>
    </row>
    <row r="6919" s="1" customFormat="1" customHeight="1" spans="1:6">
      <c r="A6919" s="9" t="str">
        <f>"10460523117"</f>
        <v>10460523117</v>
      </c>
      <c r="B6919" s="10">
        <v>0</v>
      </c>
      <c r="C6919" s="9"/>
      <c r="D6919" s="9">
        <f t="shared" si="108"/>
        <v>0</v>
      </c>
      <c r="E6919" s="11"/>
      <c r="F6919" s="9" t="s">
        <v>7</v>
      </c>
    </row>
    <row r="6920" s="1" customFormat="1" customHeight="1" spans="1:6">
      <c r="A6920" s="9" t="str">
        <f>"10360523118"</f>
        <v>10360523118</v>
      </c>
      <c r="B6920" s="10">
        <v>51.02</v>
      </c>
      <c r="C6920" s="9"/>
      <c r="D6920" s="9">
        <f t="shared" si="108"/>
        <v>51.02</v>
      </c>
      <c r="E6920" s="11"/>
      <c r="F6920" s="9"/>
    </row>
    <row r="6921" s="1" customFormat="1" customHeight="1" spans="1:6">
      <c r="A6921" s="9" t="str">
        <f>"10350523119"</f>
        <v>10350523119</v>
      </c>
      <c r="B6921" s="10">
        <v>40.41</v>
      </c>
      <c r="C6921" s="9"/>
      <c r="D6921" s="9">
        <f t="shared" si="108"/>
        <v>40.41</v>
      </c>
      <c r="E6921" s="11"/>
      <c r="F6921" s="9"/>
    </row>
    <row r="6922" s="1" customFormat="1" customHeight="1" spans="1:6">
      <c r="A6922" s="9" t="str">
        <f>"10360523120"</f>
        <v>10360523120</v>
      </c>
      <c r="B6922" s="10">
        <v>0</v>
      </c>
      <c r="C6922" s="9"/>
      <c r="D6922" s="9">
        <f t="shared" si="108"/>
        <v>0</v>
      </c>
      <c r="E6922" s="11"/>
      <c r="F6922" s="9" t="s">
        <v>7</v>
      </c>
    </row>
    <row r="6923" s="1" customFormat="1" customHeight="1" spans="1:6">
      <c r="A6923" s="9" t="str">
        <f>"10530523121"</f>
        <v>10530523121</v>
      </c>
      <c r="B6923" s="10">
        <v>27.39</v>
      </c>
      <c r="C6923" s="9"/>
      <c r="D6923" s="9">
        <f t="shared" si="108"/>
        <v>27.39</v>
      </c>
      <c r="E6923" s="11"/>
      <c r="F6923" s="9"/>
    </row>
    <row r="6924" s="1" customFormat="1" customHeight="1" spans="1:6">
      <c r="A6924" s="9" t="str">
        <f>"10420523122"</f>
        <v>10420523122</v>
      </c>
      <c r="B6924" s="10">
        <v>40.27</v>
      </c>
      <c r="C6924" s="9"/>
      <c r="D6924" s="9">
        <f t="shared" si="108"/>
        <v>40.27</v>
      </c>
      <c r="E6924" s="11"/>
      <c r="F6924" s="9"/>
    </row>
    <row r="6925" s="1" customFormat="1" customHeight="1" spans="1:6">
      <c r="A6925" s="9" t="str">
        <f>"10170523123"</f>
        <v>10170523123</v>
      </c>
      <c r="B6925" s="10">
        <v>45.88</v>
      </c>
      <c r="C6925" s="9"/>
      <c r="D6925" s="9">
        <f t="shared" si="108"/>
        <v>45.88</v>
      </c>
      <c r="E6925" s="11"/>
      <c r="F6925" s="9"/>
    </row>
    <row r="6926" s="1" customFormat="1" customHeight="1" spans="1:6">
      <c r="A6926" s="9" t="str">
        <f>"10360523124"</f>
        <v>10360523124</v>
      </c>
      <c r="B6926" s="10">
        <v>0</v>
      </c>
      <c r="C6926" s="9"/>
      <c r="D6926" s="9">
        <f t="shared" si="108"/>
        <v>0</v>
      </c>
      <c r="E6926" s="11"/>
      <c r="F6926" s="9" t="s">
        <v>7</v>
      </c>
    </row>
    <row r="6927" s="1" customFormat="1" customHeight="1" spans="1:6">
      <c r="A6927" s="9" t="str">
        <f>"10360523125"</f>
        <v>10360523125</v>
      </c>
      <c r="B6927" s="10">
        <v>0</v>
      </c>
      <c r="C6927" s="9"/>
      <c r="D6927" s="9">
        <f t="shared" si="108"/>
        <v>0</v>
      </c>
      <c r="E6927" s="11"/>
      <c r="F6927" s="9" t="s">
        <v>7</v>
      </c>
    </row>
    <row r="6928" s="1" customFormat="1" customHeight="1" spans="1:6">
      <c r="A6928" s="9" t="str">
        <f>"10300523126"</f>
        <v>10300523126</v>
      </c>
      <c r="B6928" s="10">
        <v>28.49</v>
      </c>
      <c r="C6928" s="9"/>
      <c r="D6928" s="9">
        <f t="shared" si="108"/>
        <v>28.49</v>
      </c>
      <c r="E6928" s="11"/>
      <c r="F6928" s="9"/>
    </row>
    <row r="6929" s="1" customFormat="1" customHeight="1" spans="1:6">
      <c r="A6929" s="9" t="str">
        <f>"10530523127"</f>
        <v>10530523127</v>
      </c>
      <c r="B6929" s="10">
        <v>33.83</v>
      </c>
      <c r="C6929" s="9"/>
      <c r="D6929" s="9">
        <f t="shared" si="108"/>
        <v>33.83</v>
      </c>
      <c r="E6929" s="11"/>
      <c r="F6929" s="9"/>
    </row>
    <row r="6930" s="1" customFormat="1" customHeight="1" spans="1:6">
      <c r="A6930" s="9" t="str">
        <f>"10380523128"</f>
        <v>10380523128</v>
      </c>
      <c r="B6930" s="10">
        <v>54.27</v>
      </c>
      <c r="C6930" s="9"/>
      <c r="D6930" s="9">
        <f t="shared" si="108"/>
        <v>54.27</v>
      </c>
      <c r="E6930" s="11"/>
      <c r="F6930" s="9"/>
    </row>
    <row r="6931" s="1" customFormat="1" customHeight="1" spans="1:6">
      <c r="A6931" s="9" t="str">
        <f>"10080523129"</f>
        <v>10080523129</v>
      </c>
      <c r="B6931" s="10">
        <v>0</v>
      </c>
      <c r="C6931" s="9"/>
      <c r="D6931" s="9">
        <f t="shared" si="108"/>
        <v>0</v>
      </c>
      <c r="E6931" s="11"/>
      <c r="F6931" s="9" t="s">
        <v>7</v>
      </c>
    </row>
    <row r="6932" s="1" customFormat="1" customHeight="1" spans="1:6">
      <c r="A6932" s="9" t="str">
        <f>"10270523130"</f>
        <v>10270523130</v>
      </c>
      <c r="B6932" s="10">
        <v>42.45</v>
      </c>
      <c r="C6932" s="9"/>
      <c r="D6932" s="9">
        <f t="shared" si="108"/>
        <v>42.45</v>
      </c>
      <c r="E6932" s="11"/>
      <c r="F6932" s="9"/>
    </row>
    <row r="6933" s="1" customFormat="1" customHeight="1" spans="1:6">
      <c r="A6933" s="9" t="str">
        <f>"10360523201"</f>
        <v>10360523201</v>
      </c>
      <c r="B6933" s="10">
        <v>0</v>
      </c>
      <c r="C6933" s="9"/>
      <c r="D6933" s="9">
        <f t="shared" si="108"/>
        <v>0</v>
      </c>
      <c r="E6933" s="11"/>
      <c r="F6933" s="9" t="s">
        <v>7</v>
      </c>
    </row>
    <row r="6934" s="1" customFormat="1" customHeight="1" spans="1:6">
      <c r="A6934" s="9" t="str">
        <f>"10080523202"</f>
        <v>10080523202</v>
      </c>
      <c r="B6934" s="10">
        <v>34.32</v>
      </c>
      <c r="C6934" s="9"/>
      <c r="D6934" s="9">
        <f t="shared" si="108"/>
        <v>34.32</v>
      </c>
      <c r="E6934" s="11"/>
      <c r="F6934" s="9"/>
    </row>
    <row r="6935" s="1" customFormat="1" customHeight="1" spans="1:6">
      <c r="A6935" s="9" t="str">
        <f>"10220523203"</f>
        <v>10220523203</v>
      </c>
      <c r="B6935" s="10">
        <v>39.46</v>
      </c>
      <c r="C6935" s="9"/>
      <c r="D6935" s="9">
        <f t="shared" si="108"/>
        <v>39.46</v>
      </c>
      <c r="E6935" s="11"/>
      <c r="F6935" s="9"/>
    </row>
    <row r="6936" s="1" customFormat="1" customHeight="1" spans="1:6">
      <c r="A6936" s="9" t="str">
        <f>"10060523204"</f>
        <v>10060523204</v>
      </c>
      <c r="B6936" s="10">
        <v>44.79</v>
      </c>
      <c r="C6936" s="9"/>
      <c r="D6936" s="9">
        <f t="shared" si="108"/>
        <v>44.79</v>
      </c>
      <c r="E6936" s="11"/>
      <c r="F6936" s="9"/>
    </row>
    <row r="6937" s="1" customFormat="1" customHeight="1" spans="1:6">
      <c r="A6937" s="9" t="str">
        <f>"10510523205"</f>
        <v>10510523205</v>
      </c>
      <c r="B6937" s="10">
        <v>0</v>
      </c>
      <c r="C6937" s="9"/>
      <c r="D6937" s="9">
        <f t="shared" si="108"/>
        <v>0</v>
      </c>
      <c r="E6937" s="11"/>
      <c r="F6937" s="9" t="s">
        <v>7</v>
      </c>
    </row>
    <row r="6938" s="1" customFormat="1" customHeight="1" spans="1:6">
      <c r="A6938" s="9" t="str">
        <f>"10210523206"</f>
        <v>10210523206</v>
      </c>
      <c r="B6938" s="10">
        <v>43.71</v>
      </c>
      <c r="C6938" s="9"/>
      <c r="D6938" s="9">
        <f t="shared" si="108"/>
        <v>43.71</v>
      </c>
      <c r="E6938" s="11"/>
      <c r="F6938" s="9"/>
    </row>
    <row r="6939" s="1" customFormat="1" customHeight="1" spans="1:6">
      <c r="A6939" s="9" t="str">
        <f>"10360523207"</f>
        <v>10360523207</v>
      </c>
      <c r="B6939" s="10">
        <v>44.28</v>
      </c>
      <c r="C6939" s="9"/>
      <c r="D6939" s="9">
        <f t="shared" si="108"/>
        <v>44.28</v>
      </c>
      <c r="E6939" s="11"/>
      <c r="F6939" s="9"/>
    </row>
    <row r="6940" s="1" customFormat="1" customHeight="1" spans="1:6">
      <c r="A6940" s="9" t="str">
        <f>"20180523208"</f>
        <v>20180523208</v>
      </c>
      <c r="B6940" s="10">
        <v>0</v>
      </c>
      <c r="C6940" s="9"/>
      <c r="D6940" s="9">
        <f t="shared" si="108"/>
        <v>0</v>
      </c>
      <c r="E6940" s="11"/>
      <c r="F6940" s="9" t="s">
        <v>7</v>
      </c>
    </row>
    <row r="6941" s="1" customFormat="1" customHeight="1" spans="1:6">
      <c r="A6941" s="9" t="str">
        <f>"10330523209"</f>
        <v>10330523209</v>
      </c>
      <c r="B6941" s="10">
        <v>43.78</v>
      </c>
      <c r="C6941" s="9"/>
      <c r="D6941" s="9">
        <f t="shared" si="108"/>
        <v>43.78</v>
      </c>
      <c r="E6941" s="11"/>
      <c r="F6941" s="9"/>
    </row>
    <row r="6942" s="1" customFormat="1" customHeight="1" spans="1:6">
      <c r="A6942" s="9" t="str">
        <f>"10360523210"</f>
        <v>10360523210</v>
      </c>
      <c r="B6942" s="10">
        <v>42.93</v>
      </c>
      <c r="C6942" s="9"/>
      <c r="D6942" s="9">
        <f t="shared" si="108"/>
        <v>42.93</v>
      </c>
      <c r="E6942" s="11"/>
      <c r="F6942" s="9"/>
    </row>
    <row r="6943" s="1" customFormat="1" customHeight="1" spans="1:6">
      <c r="A6943" s="9" t="str">
        <f>"10080523211"</f>
        <v>10080523211</v>
      </c>
      <c r="B6943" s="10">
        <v>33.03</v>
      </c>
      <c r="C6943" s="9">
        <v>10</v>
      </c>
      <c r="D6943" s="9">
        <f t="shared" si="108"/>
        <v>43.03</v>
      </c>
      <c r="E6943" s="12" t="s">
        <v>8</v>
      </c>
      <c r="F6943" s="9"/>
    </row>
    <row r="6944" s="1" customFormat="1" customHeight="1" spans="1:6">
      <c r="A6944" s="9" t="str">
        <f>"10360523212"</f>
        <v>10360523212</v>
      </c>
      <c r="B6944" s="10">
        <v>35.44</v>
      </c>
      <c r="C6944" s="9"/>
      <c r="D6944" s="9">
        <f t="shared" si="108"/>
        <v>35.44</v>
      </c>
      <c r="E6944" s="11"/>
      <c r="F6944" s="9"/>
    </row>
    <row r="6945" s="1" customFormat="1" customHeight="1" spans="1:6">
      <c r="A6945" s="9" t="str">
        <f>"10230523213"</f>
        <v>10230523213</v>
      </c>
      <c r="B6945" s="10">
        <v>0</v>
      </c>
      <c r="C6945" s="9"/>
      <c r="D6945" s="9">
        <f t="shared" si="108"/>
        <v>0</v>
      </c>
      <c r="E6945" s="11"/>
      <c r="F6945" s="9" t="s">
        <v>7</v>
      </c>
    </row>
    <row r="6946" s="1" customFormat="1" customHeight="1" spans="1:6">
      <c r="A6946" s="9" t="str">
        <f>"10360523214"</f>
        <v>10360523214</v>
      </c>
      <c r="B6946" s="10">
        <v>34.35</v>
      </c>
      <c r="C6946" s="9"/>
      <c r="D6946" s="9">
        <f t="shared" si="108"/>
        <v>34.35</v>
      </c>
      <c r="E6946" s="11"/>
      <c r="F6946" s="9"/>
    </row>
    <row r="6947" s="1" customFormat="1" customHeight="1" spans="1:6">
      <c r="A6947" s="9" t="str">
        <f>"10360523215"</f>
        <v>10360523215</v>
      </c>
      <c r="B6947" s="10">
        <v>37.56</v>
      </c>
      <c r="C6947" s="9"/>
      <c r="D6947" s="9">
        <f t="shared" si="108"/>
        <v>37.56</v>
      </c>
      <c r="E6947" s="11"/>
      <c r="F6947" s="9"/>
    </row>
    <row r="6948" s="1" customFormat="1" customHeight="1" spans="1:6">
      <c r="A6948" s="9" t="str">
        <f>"10360523216"</f>
        <v>10360523216</v>
      </c>
      <c r="B6948" s="10">
        <v>41.3</v>
      </c>
      <c r="C6948" s="9"/>
      <c r="D6948" s="9">
        <f t="shared" si="108"/>
        <v>41.3</v>
      </c>
      <c r="E6948" s="11"/>
      <c r="F6948" s="9"/>
    </row>
    <row r="6949" s="1" customFormat="1" customHeight="1" spans="1:6">
      <c r="A6949" s="9" t="str">
        <f>"10070523217"</f>
        <v>10070523217</v>
      </c>
      <c r="B6949" s="10">
        <v>0</v>
      </c>
      <c r="C6949" s="9"/>
      <c r="D6949" s="9">
        <f t="shared" si="108"/>
        <v>0</v>
      </c>
      <c r="E6949" s="11"/>
      <c r="F6949" s="9" t="s">
        <v>7</v>
      </c>
    </row>
    <row r="6950" s="1" customFormat="1" customHeight="1" spans="1:6">
      <c r="A6950" s="9" t="str">
        <f>"10020523218"</f>
        <v>10020523218</v>
      </c>
      <c r="B6950" s="10">
        <v>41.95</v>
      </c>
      <c r="C6950" s="9"/>
      <c r="D6950" s="9">
        <f t="shared" si="108"/>
        <v>41.95</v>
      </c>
      <c r="E6950" s="11"/>
      <c r="F6950" s="9"/>
    </row>
    <row r="6951" s="1" customFormat="1" customHeight="1" spans="1:6">
      <c r="A6951" s="9" t="str">
        <f>"10340523219"</f>
        <v>10340523219</v>
      </c>
      <c r="B6951" s="10">
        <v>41.48</v>
      </c>
      <c r="C6951" s="9"/>
      <c r="D6951" s="9">
        <f t="shared" si="108"/>
        <v>41.48</v>
      </c>
      <c r="E6951" s="11"/>
      <c r="F6951" s="9"/>
    </row>
    <row r="6952" s="1" customFormat="1" customHeight="1" spans="1:6">
      <c r="A6952" s="9" t="str">
        <f>"10230523220"</f>
        <v>10230523220</v>
      </c>
      <c r="B6952" s="10">
        <v>38.49</v>
      </c>
      <c r="C6952" s="9"/>
      <c r="D6952" s="9">
        <f t="shared" si="108"/>
        <v>38.49</v>
      </c>
      <c r="E6952" s="11"/>
      <c r="F6952" s="9"/>
    </row>
    <row r="6953" s="1" customFormat="1" customHeight="1" spans="1:6">
      <c r="A6953" s="9" t="str">
        <f>"10090523221"</f>
        <v>10090523221</v>
      </c>
      <c r="B6953" s="10">
        <v>43.08</v>
      </c>
      <c r="C6953" s="9"/>
      <c r="D6953" s="9">
        <f t="shared" si="108"/>
        <v>43.08</v>
      </c>
      <c r="E6953" s="11"/>
      <c r="F6953" s="9"/>
    </row>
    <row r="6954" s="1" customFormat="1" customHeight="1" spans="1:6">
      <c r="A6954" s="9" t="str">
        <f>"10020523222"</f>
        <v>10020523222</v>
      </c>
      <c r="B6954" s="10">
        <v>49.45</v>
      </c>
      <c r="C6954" s="9"/>
      <c r="D6954" s="9">
        <f t="shared" si="108"/>
        <v>49.45</v>
      </c>
      <c r="E6954" s="11"/>
      <c r="F6954" s="9"/>
    </row>
    <row r="6955" s="1" customFormat="1" customHeight="1" spans="1:6">
      <c r="A6955" s="9" t="str">
        <f>"10320523223"</f>
        <v>10320523223</v>
      </c>
      <c r="B6955" s="10">
        <v>0</v>
      </c>
      <c r="C6955" s="9"/>
      <c r="D6955" s="9">
        <f t="shared" si="108"/>
        <v>0</v>
      </c>
      <c r="E6955" s="11"/>
      <c r="F6955" s="9" t="s">
        <v>7</v>
      </c>
    </row>
    <row r="6956" s="1" customFormat="1" customHeight="1" spans="1:6">
      <c r="A6956" s="9" t="str">
        <f>"10280523224"</f>
        <v>10280523224</v>
      </c>
      <c r="B6956" s="10">
        <v>39.57</v>
      </c>
      <c r="C6956" s="9"/>
      <c r="D6956" s="9">
        <f t="shared" si="108"/>
        <v>39.57</v>
      </c>
      <c r="E6956" s="11"/>
      <c r="F6956" s="9"/>
    </row>
    <row r="6957" s="1" customFormat="1" customHeight="1" spans="1:6">
      <c r="A6957" s="9" t="str">
        <f>"10060523225"</f>
        <v>10060523225</v>
      </c>
      <c r="B6957" s="10">
        <v>35.19</v>
      </c>
      <c r="C6957" s="9"/>
      <c r="D6957" s="9">
        <f t="shared" si="108"/>
        <v>35.19</v>
      </c>
      <c r="E6957" s="11"/>
      <c r="F6957" s="9"/>
    </row>
    <row r="6958" s="1" customFormat="1" customHeight="1" spans="1:6">
      <c r="A6958" s="9" t="str">
        <f>"10450523226"</f>
        <v>10450523226</v>
      </c>
      <c r="B6958" s="10">
        <v>0</v>
      </c>
      <c r="C6958" s="9"/>
      <c r="D6958" s="9">
        <f t="shared" si="108"/>
        <v>0</v>
      </c>
      <c r="E6958" s="11"/>
      <c r="F6958" s="9" t="s">
        <v>7</v>
      </c>
    </row>
    <row r="6959" s="1" customFormat="1" customHeight="1" spans="1:6">
      <c r="A6959" s="9" t="str">
        <f>"10500523227"</f>
        <v>10500523227</v>
      </c>
      <c r="B6959" s="10">
        <v>0</v>
      </c>
      <c r="C6959" s="9"/>
      <c r="D6959" s="9">
        <f t="shared" si="108"/>
        <v>0</v>
      </c>
      <c r="E6959" s="11"/>
      <c r="F6959" s="9" t="s">
        <v>7</v>
      </c>
    </row>
    <row r="6960" s="1" customFormat="1" customHeight="1" spans="1:6">
      <c r="A6960" s="9" t="str">
        <f>"10240523228"</f>
        <v>10240523228</v>
      </c>
      <c r="B6960" s="10">
        <v>0</v>
      </c>
      <c r="C6960" s="9"/>
      <c r="D6960" s="9">
        <f t="shared" si="108"/>
        <v>0</v>
      </c>
      <c r="E6960" s="11"/>
      <c r="F6960" s="9" t="s">
        <v>7</v>
      </c>
    </row>
    <row r="6961" s="1" customFormat="1" customHeight="1" spans="1:6">
      <c r="A6961" s="9" t="str">
        <f>"10410523229"</f>
        <v>10410523229</v>
      </c>
      <c r="B6961" s="10">
        <v>0</v>
      </c>
      <c r="C6961" s="9"/>
      <c r="D6961" s="9">
        <f t="shared" si="108"/>
        <v>0</v>
      </c>
      <c r="E6961" s="11"/>
      <c r="F6961" s="9" t="s">
        <v>7</v>
      </c>
    </row>
    <row r="6962" s="1" customFormat="1" customHeight="1" spans="1:6">
      <c r="A6962" s="9" t="str">
        <f>"10060523230"</f>
        <v>10060523230</v>
      </c>
      <c r="B6962" s="10">
        <v>0</v>
      </c>
      <c r="C6962" s="9"/>
      <c r="D6962" s="9">
        <f t="shared" si="108"/>
        <v>0</v>
      </c>
      <c r="E6962" s="11"/>
      <c r="F6962" s="9" t="s">
        <v>7</v>
      </c>
    </row>
    <row r="6963" s="1" customFormat="1" customHeight="1" spans="1:6">
      <c r="A6963" s="9" t="str">
        <f>"10130523301"</f>
        <v>10130523301</v>
      </c>
      <c r="B6963" s="10">
        <v>43.63</v>
      </c>
      <c r="C6963" s="9"/>
      <c r="D6963" s="9">
        <f t="shared" si="108"/>
        <v>43.63</v>
      </c>
      <c r="E6963" s="11"/>
      <c r="F6963" s="9"/>
    </row>
    <row r="6964" s="1" customFormat="1" customHeight="1" spans="1:6">
      <c r="A6964" s="9" t="str">
        <f>"10360523302"</f>
        <v>10360523302</v>
      </c>
      <c r="B6964" s="10">
        <v>0</v>
      </c>
      <c r="C6964" s="9"/>
      <c r="D6964" s="9">
        <f t="shared" si="108"/>
        <v>0</v>
      </c>
      <c r="E6964" s="11"/>
      <c r="F6964" s="9" t="s">
        <v>7</v>
      </c>
    </row>
    <row r="6965" s="1" customFormat="1" customHeight="1" spans="1:6">
      <c r="A6965" s="9" t="str">
        <f>"10440523303"</f>
        <v>10440523303</v>
      </c>
      <c r="B6965" s="10">
        <v>37.93</v>
      </c>
      <c r="C6965" s="9"/>
      <c r="D6965" s="9">
        <f t="shared" si="108"/>
        <v>37.93</v>
      </c>
      <c r="E6965" s="11"/>
      <c r="F6965" s="9"/>
    </row>
    <row r="6966" s="1" customFormat="1" customHeight="1" spans="1:6">
      <c r="A6966" s="9" t="str">
        <f>"20270523304"</f>
        <v>20270523304</v>
      </c>
      <c r="B6966" s="10">
        <v>37.93</v>
      </c>
      <c r="C6966" s="9"/>
      <c r="D6966" s="9">
        <f t="shared" si="108"/>
        <v>37.93</v>
      </c>
      <c r="E6966" s="11"/>
      <c r="F6966" s="9"/>
    </row>
    <row r="6967" s="1" customFormat="1" customHeight="1" spans="1:6">
      <c r="A6967" s="9" t="str">
        <f>"10510523305"</f>
        <v>10510523305</v>
      </c>
      <c r="B6967" s="10">
        <v>41.94</v>
      </c>
      <c r="C6967" s="9"/>
      <c r="D6967" s="9">
        <f t="shared" si="108"/>
        <v>41.94</v>
      </c>
      <c r="E6967" s="11"/>
      <c r="F6967" s="9"/>
    </row>
    <row r="6968" s="1" customFormat="1" customHeight="1" spans="1:6">
      <c r="A6968" s="9" t="str">
        <f>"10060523306"</f>
        <v>10060523306</v>
      </c>
      <c r="B6968" s="10">
        <v>0</v>
      </c>
      <c r="C6968" s="9"/>
      <c r="D6968" s="9">
        <f t="shared" si="108"/>
        <v>0</v>
      </c>
      <c r="E6968" s="11"/>
      <c r="F6968" s="9" t="s">
        <v>7</v>
      </c>
    </row>
    <row r="6969" s="1" customFormat="1" customHeight="1" spans="1:6">
      <c r="A6969" s="9" t="str">
        <f>"10270523307"</f>
        <v>10270523307</v>
      </c>
      <c r="B6969" s="10">
        <v>43.85</v>
      </c>
      <c r="C6969" s="9"/>
      <c r="D6969" s="9">
        <f t="shared" si="108"/>
        <v>43.85</v>
      </c>
      <c r="E6969" s="11"/>
      <c r="F6969" s="9"/>
    </row>
    <row r="6970" s="1" customFormat="1" customHeight="1" spans="1:6">
      <c r="A6970" s="9" t="str">
        <f>"10120523308"</f>
        <v>10120523308</v>
      </c>
      <c r="B6970" s="10">
        <v>42.6</v>
      </c>
      <c r="C6970" s="9"/>
      <c r="D6970" s="9">
        <f t="shared" si="108"/>
        <v>42.6</v>
      </c>
      <c r="E6970" s="11"/>
      <c r="F6970" s="9"/>
    </row>
    <row r="6971" s="1" customFormat="1" customHeight="1" spans="1:6">
      <c r="A6971" s="9" t="str">
        <f>"10010523309"</f>
        <v>10010523309</v>
      </c>
      <c r="B6971" s="10">
        <v>45.07</v>
      </c>
      <c r="C6971" s="9">
        <v>10</v>
      </c>
      <c r="D6971" s="9">
        <f t="shared" si="108"/>
        <v>55.07</v>
      </c>
      <c r="E6971" s="12" t="s">
        <v>8</v>
      </c>
      <c r="F6971" s="9"/>
    </row>
    <row r="6972" s="1" customFormat="1" customHeight="1" spans="1:6">
      <c r="A6972" s="9" t="str">
        <f>"10080523310"</f>
        <v>10080523310</v>
      </c>
      <c r="B6972" s="10">
        <v>47.27</v>
      </c>
      <c r="C6972" s="9"/>
      <c r="D6972" s="9">
        <f t="shared" si="108"/>
        <v>47.27</v>
      </c>
      <c r="E6972" s="11"/>
      <c r="F6972" s="9"/>
    </row>
    <row r="6973" s="1" customFormat="1" customHeight="1" spans="1:6">
      <c r="A6973" s="9" t="str">
        <f>"10020523311"</f>
        <v>10020523311</v>
      </c>
      <c r="B6973" s="10">
        <v>0</v>
      </c>
      <c r="C6973" s="9"/>
      <c r="D6973" s="9">
        <f t="shared" si="108"/>
        <v>0</v>
      </c>
      <c r="E6973" s="11"/>
      <c r="F6973" s="9" t="s">
        <v>7</v>
      </c>
    </row>
    <row r="6974" s="1" customFormat="1" customHeight="1" spans="1:6">
      <c r="A6974" s="9" t="str">
        <f>"10360523312"</f>
        <v>10360523312</v>
      </c>
      <c r="B6974" s="10">
        <v>36.89</v>
      </c>
      <c r="C6974" s="9"/>
      <c r="D6974" s="9">
        <f t="shared" si="108"/>
        <v>36.89</v>
      </c>
      <c r="E6974" s="11"/>
      <c r="F6974" s="9"/>
    </row>
    <row r="6975" s="1" customFormat="1" customHeight="1" spans="1:6">
      <c r="A6975" s="9" t="str">
        <f>"10320523313"</f>
        <v>10320523313</v>
      </c>
      <c r="B6975" s="10">
        <v>44.07</v>
      </c>
      <c r="C6975" s="9"/>
      <c r="D6975" s="9">
        <f t="shared" si="108"/>
        <v>44.07</v>
      </c>
      <c r="E6975" s="11"/>
      <c r="F6975" s="9"/>
    </row>
    <row r="6976" s="1" customFormat="1" customHeight="1" spans="1:6">
      <c r="A6976" s="9" t="str">
        <f>"10290523314"</f>
        <v>10290523314</v>
      </c>
      <c r="B6976" s="10">
        <v>0</v>
      </c>
      <c r="C6976" s="9"/>
      <c r="D6976" s="9">
        <f t="shared" si="108"/>
        <v>0</v>
      </c>
      <c r="E6976" s="11"/>
      <c r="F6976" s="9" t="s">
        <v>7</v>
      </c>
    </row>
    <row r="6977" s="1" customFormat="1" customHeight="1" spans="1:6">
      <c r="A6977" s="9" t="str">
        <f>"10330523315"</f>
        <v>10330523315</v>
      </c>
      <c r="B6977" s="10">
        <v>34.27</v>
      </c>
      <c r="C6977" s="9"/>
      <c r="D6977" s="9">
        <f t="shared" si="108"/>
        <v>34.27</v>
      </c>
      <c r="E6977" s="11"/>
      <c r="F6977" s="9"/>
    </row>
    <row r="6978" s="1" customFormat="1" customHeight="1" spans="1:6">
      <c r="A6978" s="9" t="str">
        <f>"10080523316"</f>
        <v>10080523316</v>
      </c>
      <c r="B6978" s="10">
        <v>50.33</v>
      </c>
      <c r="C6978" s="9"/>
      <c r="D6978" s="9">
        <f t="shared" si="108"/>
        <v>50.33</v>
      </c>
      <c r="E6978" s="11"/>
      <c r="F6978" s="9"/>
    </row>
    <row r="6979" s="1" customFormat="1" customHeight="1" spans="1:6">
      <c r="A6979" s="9" t="str">
        <f>"20180523317"</f>
        <v>20180523317</v>
      </c>
      <c r="B6979" s="10">
        <v>43.37</v>
      </c>
      <c r="C6979" s="9"/>
      <c r="D6979" s="9">
        <f t="shared" ref="D6979:D7042" si="109">SUM(B6979:C6979)</f>
        <v>43.37</v>
      </c>
      <c r="E6979" s="11"/>
      <c r="F6979" s="9"/>
    </row>
    <row r="6980" s="1" customFormat="1" customHeight="1" spans="1:6">
      <c r="A6980" s="9" t="str">
        <f>"10500523318"</f>
        <v>10500523318</v>
      </c>
      <c r="B6980" s="10">
        <v>0</v>
      </c>
      <c r="C6980" s="9"/>
      <c r="D6980" s="9">
        <f t="shared" si="109"/>
        <v>0</v>
      </c>
      <c r="E6980" s="11"/>
      <c r="F6980" s="9" t="s">
        <v>7</v>
      </c>
    </row>
    <row r="6981" s="1" customFormat="1" customHeight="1" spans="1:6">
      <c r="A6981" s="9" t="str">
        <f>"10330523319"</f>
        <v>10330523319</v>
      </c>
      <c r="B6981" s="10">
        <v>76.94</v>
      </c>
      <c r="C6981" s="9"/>
      <c r="D6981" s="9">
        <f t="shared" si="109"/>
        <v>76.94</v>
      </c>
      <c r="E6981" s="11"/>
      <c r="F6981" s="9"/>
    </row>
    <row r="6982" s="1" customFormat="1" customHeight="1" spans="1:6">
      <c r="A6982" s="9" t="str">
        <f>"10010523320"</f>
        <v>10010523320</v>
      </c>
      <c r="B6982" s="10">
        <v>39.45</v>
      </c>
      <c r="C6982" s="9"/>
      <c r="D6982" s="9">
        <f t="shared" si="109"/>
        <v>39.45</v>
      </c>
      <c r="E6982" s="11"/>
      <c r="F6982" s="9"/>
    </row>
    <row r="6983" s="1" customFormat="1" customHeight="1" spans="1:6">
      <c r="A6983" s="9" t="str">
        <f>"20270523321"</f>
        <v>20270523321</v>
      </c>
      <c r="B6983" s="10">
        <v>48.12</v>
      </c>
      <c r="C6983" s="9"/>
      <c r="D6983" s="9">
        <f t="shared" si="109"/>
        <v>48.12</v>
      </c>
      <c r="E6983" s="11"/>
      <c r="F6983" s="9"/>
    </row>
    <row r="6984" s="1" customFormat="1" customHeight="1" spans="1:6">
      <c r="A6984" s="9" t="str">
        <f>"10530523322"</f>
        <v>10530523322</v>
      </c>
      <c r="B6984" s="10">
        <v>0</v>
      </c>
      <c r="C6984" s="9"/>
      <c r="D6984" s="9">
        <f t="shared" si="109"/>
        <v>0</v>
      </c>
      <c r="E6984" s="11"/>
      <c r="F6984" s="9" t="s">
        <v>7</v>
      </c>
    </row>
    <row r="6985" s="1" customFormat="1" customHeight="1" spans="1:6">
      <c r="A6985" s="9" t="str">
        <f>"10060523323"</f>
        <v>10060523323</v>
      </c>
      <c r="B6985" s="10">
        <v>34.04</v>
      </c>
      <c r="C6985" s="9"/>
      <c r="D6985" s="9">
        <f t="shared" si="109"/>
        <v>34.04</v>
      </c>
      <c r="E6985" s="11"/>
      <c r="F6985" s="9"/>
    </row>
    <row r="6986" s="1" customFormat="1" customHeight="1" spans="1:6">
      <c r="A6986" s="9" t="str">
        <f>"10530523324"</f>
        <v>10530523324</v>
      </c>
      <c r="B6986" s="10">
        <v>46.46</v>
      </c>
      <c r="C6986" s="9"/>
      <c r="D6986" s="9">
        <f t="shared" si="109"/>
        <v>46.46</v>
      </c>
      <c r="E6986" s="11"/>
      <c r="F6986" s="9"/>
    </row>
    <row r="6987" s="1" customFormat="1" customHeight="1" spans="1:6">
      <c r="A6987" s="9" t="str">
        <f>"10130523325"</f>
        <v>10130523325</v>
      </c>
      <c r="B6987" s="10">
        <v>46.14</v>
      </c>
      <c r="C6987" s="9"/>
      <c r="D6987" s="9">
        <f t="shared" si="109"/>
        <v>46.14</v>
      </c>
      <c r="E6987" s="11"/>
      <c r="F6987" s="9"/>
    </row>
    <row r="6988" s="1" customFormat="1" customHeight="1" spans="1:6">
      <c r="A6988" s="9" t="str">
        <f>"10520523326"</f>
        <v>10520523326</v>
      </c>
      <c r="B6988" s="10">
        <v>0</v>
      </c>
      <c r="C6988" s="9"/>
      <c r="D6988" s="9">
        <f t="shared" si="109"/>
        <v>0</v>
      </c>
      <c r="E6988" s="11"/>
      <c r="F6988" s="9" t="s">
        <v>7</v>
      </c>
    </row>
    <row r="6989" s="1" customFormat="1" customHeight="1" spans="1:6">
      <c r="A6989" s="9" t="str">
        <f>"10300523327"</f>
        <v>10300523327</v>
      </c>
      <c r="B6989" s="10">
        <v>31.33</v>
      </c>
      <c r="C6989" s="9"/>
      <c r="D6989" s="9">
        <f t="shared" si="109"/>
        <v>31.33</v>
      </c>
      <c r="E6989" s="11"/>
      <c r="F6989" s="9"/>
    </row>
    <row r="6990" s="1" customFormat="1" customHeight="1" spans="1:6">
      <c r="A6990" s="9" t="str">
        <f>"10360523328"</f>
        <v>10360523328</v>
      </c>
      <c r="B6990" s="10">
        <v>49.45</v>
      </c>
      <c r="C6990" s="9"/>
      <c r="D6990" s="9">
        <f t="shared" si="109"/>
        <v>49.45</v>
      </c>
      <c r="E6990" s="11"/>
      <c r="F6990" s="9"/>
    </row>
    <row r="6991" s="1" customFormat="1" customHeight="1" spans="1:6">
      <c r="A6991" s="9" t="str">
        <f>"10360523329"</f>
        <v>10360523329</v>
      </c>
      <c r="B6991" s="10">
        <v>42.36</v>
      </c>
      <c r="C6991" s="9"/>
      <c r="D6991" s="9">
        <f t="shared" si="109"/>
        <v>42.36</v>
      </c>
      <c r="E6991" s="11"/>
      <c r="F6991" s="9"/>
    </row>
    <row r="6992" s="1" customFormat="1" customHeight="1" spans="1:6">
      <c r="A6992" s="9" t="str">
        <f>"10360523330"</f>
        <v>10360523330</v>
      </c>
      <c r="B6992" s="10">
        <v>42.23</v>
      </c>
      <c r="C6992" s="9"/>
      <c r="D6992" s="9">
        <f t="shared" si="109"/>
        <v>42.23</v>
      </c>
      <c r="E6992" s="11"/>
      <c r="F6992" s="9"/>
    </row>
    <row r="6993" s="1" customFormat="1" customHeight="1" spans="1:6">
      <c r="A6993" s="9" t="str">
        <f>"10330523401"</f>
        <v>10330523401</v>
      </c>
      <c r="B6993" s="10">
        <v>0</v>
      </c>
      <c r="C6993" s="9"/>
      <c r="D6993" s="9">
        <f t="shared" si="109"/>
        <v>0</v>
      </c>
      <c r="E6993" s="11"/>
      <c r="F6993" s="9" t="s">
        <v>7</v>
      </c>
    </row>
    <row r="6994" s="1" customFormat="1" customHeight="1" spans="1:6">
      <c r="A6994" s="9" t="str">
        <f>"10060523402"</f>
        <v>10060523402</v>
      </c>
      <c r="B6994" s="10">
        <v>45.43</v>
      </c>
      <c r="C6994" s="9"/>
      <c r="D6994" s="9">
        <f t="shared" si="109"/>
        <v>45.43</v>
      </c>
      <c r="E6994" s="11"/>
      <c r="F6994" s="9"/>
    </row>
    <row r="6995" s="1" customFormat="1" customHeight="1" spans="1:6">
      <c r="A6995" s="9" t="str">
        <f>"10110523403"</f>
        <v>10110523403</v>
      </c>
      <c r="B6995" s="10">
        <v>0</v>
      </c>
      <c r="C6995" s="9"/>
      <c r="D6995" s="9">
        <f t="shared" si="109"/>
        <v>0</v>
      </c>
      <c r="E6995" s="11"/>
      <c r="F6995" s="9" t="s">
        <v>7</v>
      </c>
    </row>
    <row r="6996" s="1" customFormat="1" customHeight="1" spans="1:6">
      <c r="A6996" s="9" t="str">
        <f>"10300523404"</f>
        <v>10300523404</v>
      </c>
      <c r="B6996" s="10">
        <v>0</v>
      </c>
      <c r="C6996" s="9"/>
      <c r="D6996" s="9">
        <f t="shared" si="109"/>
        <v>0</v>
      </c>
      <c r="E6996" s="11"/>
      <c r="F6996" s="9" t="s">
        <v>7</v>
      </c>
    </row>
    <row r="6997" s="1" customFormat="1" customHeight="1" spans="1:6">
      <c r="A6997" s="9" t="str">
        <f>"10090523405"</f>
        <v>10090523405</v>
      </c>
      <c r="B6997" s="10">
        <v>54.01</v>
      </c>
      <c r="C6997" s="9"/>
      <c r="D6997" s="9">
        <f t="shared" si="109"/>
        <v>54.01</v>
      </c>
      <c r="E6997" s="11"/>
      <c r="F6997" s="9"/>
    </row>
    <row r="6998" s="1" customFormat="1" customHeight="1" spans="1:6">
      <c r="A6998" s="9" t="str">
        <f>"10170523406"</f>
        <v>10170523406</v>
      </c>
      <c r="B6998" s="10">
        <v>0</v>
      </c>
      <c r="C6998" s="9"/>
      <c r="D6998" s="9">
        <f t="shared" si="109"/>
        <v>0</v>
      </c>
      <c r="E6998" s="11"/>
      <c r="F6998" s="9" t="s">
        <v>7</v>
      </c>
    </row>
    <row r="6999" s="1" customFormat="1" customHeight="1" spans="1:6">
      <c r="A6999" s="9" t="str">
        <f>"10060523407"</f>
        <v>10060523407</v>
      </c>
      <c r="B6999" s="10">
        <v>0</v>
      </c>
      <c r="C6999" s="9"/>
      <c r="D6999" s="9">
        <f t="shared" si="109"/>
        <v>0</v>
      </c>
      <c r="E6999" s="11"/>
      <c r="F6999" s="9" t="s">
        <v>7</v>
      </c>
    </row>
    <row r="7000" s="1" customFormat="1" customHeight="1" spans="1:6">
      <c r="A7000" s="9" t="str">
        <f>"10210523408"</f>
        <v>10210523408</v>
      </c>
      <c r="B7000" s="10">
        <v>0</v>
      </c>
      <c r="C7000" s="9"/>
      <c r="D7000" s="9">
        <f t="shared" si="109"/>
        <v>0</v>
      </c>
      <c r="E7000" s="11"/>
      <c r="F7000" s="9" t="s">
        <v>7</v>
      </c>
    </row>
    <row r="7001" s="1" customFormat="1" customHeight="1" spans="1:6">
      <c r="A7001" s="9" t="str">
        <f>"10440523409"</f>
        <v>10440523409</v>
      </c>
      <c r="B7001" s="10">
        <v>0</v>
      </c>
      <c r="C7001" s="9"/>
      <c r="D7001" s="9">
        <f t="shared" si="109"/>
        <v>0</v>
      </c>
      <c r="E7001" s="11"/>
      <c r="F7001" s="9" t="s">
        <v>7</v>
      </c>
    </row>
    <row r="7002" s="1" customFormat="1" customHeight="1" spans="1:6">
      <c r="A7002" s="9" t="str">
        <f>"10360523410"</f>
        <v>10360523410</v>
      </c>
      <c r="B7002" s="10">
        <v>0</v>
      </c>
      <c r="C7002" s="9"/>
      <c r="D7002" s="9">
        <f t="shared" si="109"/>
        <v>0</v>
      </c>
      <c r="E7002" s="11"/>
      <c r="F7002" s="9" t="s">
        <v>7</v>
      </c>
    </row>
    <row r="7003" s="1" customFormat="1" customHeight="1" spans="1:6">
      <c r="A7003" s="9" t="str">
        <f>"10120523411"</f>
        <v>10120523411</v>
      </c>
      <c r="B7003" s="10">
        <v>44.59</v>
      </c>
      <c r="C7003" s="9"/>
      <c r="D7003" s="9">
        <f t="shared" si="109"/>
        <v>44.59</v>
      </c>
      <c r="E7003" s="11"/>
      <c r="F7003" s="9"/>
    </row>
    <row r="7004" s="1" customFormat="1" customHeight="1" spans="1:6">
      <c r="A7004" s="9" t="str">
        <f>"10060523412"</f>
        <v>10060523412</v>
      </c>
      <c r="B7004" s="10">
        <v>35.52</v>
      </c>
      <c r="C7004" s="9"/>
      <c r="D7004" s="9">
        <f t="shared" si="109"/>
        <v>35.52</v>
      </c>
      <c r="E7004" s="11"/>
      <c r="F7004" s="9"/>
    </row>
    <row r="7005" s="1" customFormat="1" customHeight="1" spans="1:6">
      <c r="A7005" s="9" t="str">
        <f>"10010523413"</f>
        <v>10010523413</v>
      </c>
      <c r="B7005" s="10">
        <v>41.65</v>
      </c>
      <c r="C7005" s="9"/>
      <c r="D7005" s="9">
        <f t="shared" si="109"/>
        <v>41.65</v>
      </c>
      <c r="E7005" s="11"/>
      <c r="F7005" s="9"/>
    </row>
    <row r="7006" s="1" customFormat="1" customHeight="1" spans="1:6">
      <c r="A7006" s="9" t="str">
        <f>"10170523414"</f>
        <v>10170523414</v>
      </c>
      <c r="B7006" s="10">
        <v>50.04</v>
      </c>
      <c r="C7006" s="9"/>
      <c r="D7006" s="9">
        <f t="shared" si="109"/>
        <v>50.04</v>
      </c>
      <c r="E7006" s="11"/>
      <c r="F7006" s="9"/>
    </row>
    <row r="7007" s="1" customFormat="1" customHeight="1" spans="1:6">
      <c r="A7007" s="9" t="str">
        <f>"20270523415"</f>
        <v>20270523415</v>
      </c>
      <c r="B7007" s="10">
        <v>0</v>
      </c>
      <c r="C7007" s="9"/>
      <c r="D7007" s="9">
        <f t="shared" si="109"/>
        <v>0</v>
      </c>
      <c r="E7007" s="11"/>
      <c r="F7007" s="9" t="s">
        <v>7</v>
      </c>
    </row>
    <row r="7008" s="1" customFormat="1" customHeight="1" spans="1:6">
      <c r="A7008" s="9" t="str">
        <f>"10400523416"</f>
        <v>10400523416</v>
      </c>
      <c r="B7008" s="10">
        <v>40.87</v>
      </c>
      <c r="C7008" s="9"/>
      <c r="D7008" s="9">
        <f t="shared" si="109"/>
        <v>40.87</v>
      </c>
      <c r="E7008" s="11"/>
      <c r="F7008" s="9"/>
    </row>
    <row r="7009" s="1" customFormat="1" customHeight="1" spans="1:6">
      <c r="A7009" s="9" t="str">
        <f>"10300523417"</f>
        <v>10300523417</v>
      </c>
      <c r="B7009" s="10">
        <v>41.13</v>
      </c>
      <c r="C7009" s="9"/>
      <c r="D7009" s="9">
        <f t="shared" si="109"/>
        <v>41.13</v>
      </c>
      <c r="E7009" s="11"/>
      <c r="F7009" s="9"/>
    </row>
    <row r="7010" s="1" customFormat="1" customHeight="1" spans="1:6">
      <c r="A7010" s="9" t="str">
        <f>"20270523418"</f>
        <v>20270523418</v>
      </c>
      <c r="B7010" s="10">
        <v>42.16</v>
      </c>
      <c r="C7010" s="9"/>
      <c r="D7010" s="9">
        <f t="shared" si="109"/>
        <v>42.16</v>
      </c>
      <c r="E7010" s="11"/>
      <c r="F7010" s="9"/>
    </row>
    <row r="7011" s="1" customFormat="1" customHeight="1" spans="1:6">
      <c r="A7011" s="9" t="str">
        <f>"10360523419"</f>
        <v>10360523419</v>
      </c>
      <c r="B7011" s="10">
        <v>33.33</v>
      </c>
      <c r="C7011" s="9"/>
      <c r="D7011" s="9">
        <f t="shared" si="109"/>
        <v>33.33</v>
      </c>
      <c r="E7011" s="11"/>
      <c r="F7011" s="9"/>
    </row>
    <row r="7012" s="1" customFormat="1" customHeight="1" spans="1:6">
      <c r="A7012" s="9" t="str">
        <f>"10360523420"</f>
        <v>10360523420</v>
      </c>
      <c r="B7012" s="10">
        <v>38.21</v>
      </c>
      <c r="C7012" s="9"/>
      <c r="D7012" s="9">
        <f t="shared" si="109"/>
        <v>38.21</v>
      </c>
      <c r="E7012" s="11"/>
      <c r="F7012" s="9"/>
    </row>
    <row r="7013" s="1" customFormat="1" customHeight="1" spans="1:6">
      <c r="A7013" s="9" t="str">
        <f>"10520523421"</f>
        <v>10520523421</v>
      </c>
      <c r="B7013" s="10">
        <v>35.85</v>
      </c>
      <c r="C7013" s="9"/>
      <c r="D7013" s="9">
        <f t="shared" si="109"/>
        <v>35.85</v>
      </c>
      <c r="E7013" s="11"/>
      <c r="F7013" s="9"/>
    </row>
    <row r="7014" s="1" customFormat="1" customHeight="1" spans="1:6">
      <c r="A7014" s="9" t="str">
        <f>"10110523422"</f>
        <v>10110523422</v>
      </c>
      <c r="B7014" s="10">
        <v>44.87</v>
      </c>
      <c r="C7014" s="9"/>
      <c r="D7014" s="9">
        <f t="shared" si="109"/>
        <v>44.87</v>
      </c>
      <c r="E7014" s="11"/>
      <c r="F7014" s="9"/>
    </row>
    <row r="7015" s="1" customFormat="1" customHeight="1" spans="1:6">
      <c r="A7015" s="9" t="str">
        <f>"10020523423"</f>
        <v>10020523423</v>
      </c>
      <c r="B7015" s="10">
        <v>0</v>
      </c>
      <c r="C7015" s="9"/>
      <c r="D7015" s="9">
        <f t="shared" si="109"/>
        <v>0</v>
      </c>
      <c r="E7015" s="11"/>
      <c r="F7015" s="9" t="s">
        <v>7</v>
      </c>
    </row>
    <row r="7016" s="1" customFormat="1" customHeight="1" spans="1:6">
      <c r="A7016" s="9" t="str">
        <f>"10360523424"</f>
        <v>10360523424</v>
      </c>
      <c r="B7016" s="10">
        <v>0</v>
      </c>
      <c r="C7016" s="9"/>
      <c r="D7016" s="9">
        <f t="shared" si="109"/>
        <v>0</v>
      </c>
      <c r="E7016" s="11"/>
      <c r="F7016" s="9" t="s">
        <v>7</v>
      </c>
    </row>
    <row r="7017" s="1" customFormat="1" customHeight="1" spans="1:6">
      <c r="A7017" s="9" t="str">
        <f>"10430523425"</f>
        <v>10430523425</v>
      </c>
      <c r="B7017" s="10">
        <v>39.86</v>
      </c>
      <c r="C7017" s="9"/>
      <c r="D7017" s="9">
        <f t="shared" si="109"/>
        <v>39.86</v>
      </c>
      <c r="E7017" s="11"/>
      <c r="F7017" s="9"/>
    </row>
    <row r="7018" s="1" customFormat="1" customHeight="1" spans="1:6">
      <c r="A7018" s="9" t="str">
        <f>"10520523426"</f>
        <v>10520523426</v>
      </c>
      <c r="B7018" s="10">
        <v>0</v>
      </c>
      <c r="C7018" s="9"/>
      <c r="D7018" s="9">
        <f t="shared" si="109"/>
        <v>0</v>
      </c>
      <c r="E7018" s="11"/>
      <c r="F7018" s="9" t="s">
        <v>7</v>
      </c>
    </row>
    <row r="7019" s="1" customFormat="1" customHeight="1" spans="1:6">
      <c r="A7019" s="9" t="str">
        <f>"10020523427"</f>
        <v>10020523427</v>
      </c>
      <c r="B7019" s="10">
        <v>48.42</v>
      </c>
      <c r="C7019" s="9"/>
      <c r="D7019" s="9">
        <f t="shared" si="109"/>
        <v>48.42</v>
      </c>
      <c r="E7019" s="11"/>
      <c r="F7019" s="9"/>
    </row>
    <row r="7020" s="1" customFormat="1" customHeight="1" spans="1:6">
      <c r="A7020" s="9" t="str">
        <f>"10140523428"</f>
        <v>10140523428</v>
      </c>
      <c r="B7020" s="10">
        <v>0</v>
      </c>
      <c r="C7020" s="9"/>
      <c r="D7020" s="9">
        <f t="shared" si="109"/>
        <v>0</v>
      </c>
      <c r="E7020" s="11"/>
      <c r="F7020" s="9" t="s">
        <v>7</v>
      </c>
    </row>
    <row r="7021" s="1" customFormat="1" customHeight="1" spans="1:6">
      <c r="A7021" s="9" t="str">
        <f>"10210523429"</f>
        <v>10210523429</v>
      </c>
      <c r="B7021" s="10">
        <v>43.62</v>
      </c>
      <c r="C7021" s="9"/>
      <c r="D7021" s="9">
        <f t="shared" si="109"/>
        <v>43.62</v>
      </c>
      <c r="E7021" s="11"/>
      <c r="F7021" s="9"/>
    </row>
    <row r="7022" s="1" customFormat="1" customHeight="1" spans="1:6">
      <c r="A7022" s="9" t="str">
        <f>"10360523430"</f>
        <v>10360523430</v>
      </c>
      <c r="B7022" s="10">
        <v>31.8</v>
      </c>
      <c r="C7022" s="9"/>
      <c r="D7022" s="9">
        <f t="shared" si="109"/>
        <v>31.8</v>
      </c>
      <c r="E7022" s="11"/>
      <c r="F7022" s="9"/>
    </row>
    <row r="7023" s="1" customFormat="1" customHeight="1" spans="1:6">
      <c r="A7023" s="9" t="str">
        <f>"10080523501"</f>
        <v>10080523501</v>
      </c>
      <c r="B7023" s="10">
        <v>43.94</v>
      </c>
      <c r="C7023" s="9"/>
      <c r="D7023" s="9">
        <f t="shared" si="109"/>
        <v>43.94</v>
      </c>
      <c r="E7023" s="11"/>
      <c r="F7023" s="9"/>
    </row>
    <row r="7024" s="1" customFormat="1" customHeight="1" spans="1:6">
      <c r="A7024" s="9" t="str">
        <f>"10530523502"</f>
        <v>10530523502</v>
      </c>
      <c r="B7024" s="10">
        <v>0</v>
      </c>
      <c r="C7024" s="9"/>
      <c r="D7024" s="9">
        <f t="shared" si="109"/>
        <v>0</v>
      </c>
      <c r="E7024" s="11"/>
      <c r="F7024" s="9" t="s">
        <v>7</v>
      </c>
    </row>
    <row r="7025" s="1" customFormat="1" customHeight="1" spans="1:6">
      <c r="A7025" s="9" t="str">
        <f>"10110523503"</f>
        <v>10110523503</v>
      </c>
      <c r="B7025" s="10">
        <v>0</v>
      </c>
      <c r="C7025" s="9"/>
      <c r="D7025" s="9">
        <f t="shared" si="109"/>
        <v>0</v>
      </c>
      <c r="E7025" s="11"/>
      <c r="F7025" s="9" t="s">
        <v>7</v>
      </c>
    </row>
    <row r="7026" s="1" customFormat="1" customHeight="1" spans="1:6">
      <c r="A7026" s="9" t="str">
        <f>"10060523504"</f>
        <v>10060523504</v>
      </c>
      <c r="B7026" s="10">
        <v>42.76</v>
      </c>
      <c r="C7026" s="9"/>
      <c r="D7026" s="9">
        <f t="shared" si="109"/>
        <v>42.76</v>
      </c>
      <c r="E7026" s="11"/>
      <c r="F7026" s="9"/>
    </row>
    <row r="7027" s="1" customFormat="1" customHeight="1" spans="1:6">
      <c r="A7027" s="9" t="str">
        <f>"10530523505"</f>
        <v>10530523505</v>
      </c>
      <c r="B7027" s="10">
        <v>32.99</v>
      </c>
      <c r="C7027" s="9"/>
      <c r="D7027" s="9">
        <f t="shared" si="109"/>
        <v>32.99</v>
      </c>
      <c r="E7027" s="11"/>
      <c r="F7027" s="9"/>
    </row>
    <row r="7028" s="1" customFormat="1" customHeight="1" spans="1:6">
      <c r="A7028" s="9" t="str">
        <f>"10360523506"</f>
        <v>10360523506</v>
      </c>
      <c r="B7028" s="10">
        <v>40.94</v>
      </c>
      <c r="C7028" s="9"/>
      <c r="D7028" s="9">
        <f t="shared" si="109"/>
        <v>40.94</v>
      </c>
      <c r="E7028" s="11"/>
      <c r="F7028" s="9"/>
    </row>
    <row r="7029" s="1" customFormat="1" customHeight="1" spans="1:6">
      <c r="A7029" s="9" t="str">
        <f>"10360523507"</f>
        <v>10360523507</v>
      </c>
      <c r="B7029" s="10">
        <v>48.28</v>
      </c>
      <c r="C7029" s="9"/>
      <c r="D7029" s="9">
        <f t="shared" si="109"/>
        <v>48.28</v>
      </c>
      <c r="E7029" s="11"/>
      <c r="F7029" s="9"/>
    </row>
    <row r="7030" s="1" customFormat="1" customHeight="1" spans="1:6">
      <c r="A7030" s="9" t="str">
        <f>"10530523508"</f>
        <v>10530523508</v>
      </c>
      <c r="B7030" s="10">
        <v>0</v>
      </c>
      <c r="C7030" s="9"/>
      <c r="D7030" s="9">
        <f t="shared" si="109"/>
        <v>0</v>
      </c>
      <c r="E7030" s="11"/>
      <c r="F7030" s="9" t="s">
        <v>7</v>
      </c>
    </row>
    <row r="7031" s="1" customFormat="1" customHeight="1" spans="1:6">
      <c r="A7031" s="9" t="str">
        <f>"10040523509"</f>
        <v>10040523509</v>
      </c>
      <c r="B7031" s="10">
        <v>74.44</v>
      </c>
      <c r="C7031" s="9"/>
      <c r="D7031" s="9">
        <f t="shared" si="109"/>
        <v>74.44</v>
      </c>
      <c r="E7031" s="11"/>
      <c r="F7031" s="9"/>
    </row>
    <row r="7032" s="1" customFormat="1" customHeight="1" spans="1:6">
      <c r="A7032" s="9" t="str">
        <f>"10530523510"</f>
        <v>10530523510</v>
      </c>
      <c r="B7032" s="10">
        <v>39.24</v>
      </c>
      <c r="C7032" s="9"/>
      <c r="D7032" s="9">
        <f t="shared" si="109"/>
        <v>39.24</v>
      </c>
      <c r="E7032" s="11"/>
      <c r="F7032" s="9"/>
    </row>
    <row r="7033" s="1" customFormat="1" customHeight="1" spans="1:6">
      <c r="A7033" s="9" t="str">
        <f>"10500523511"</f>
        <v>10500523511</v>
      </c>
      <c r="B7033" s="10">
        <v>38.43</v>
      </c>
      <c r="C7033" s="9"/>
      <c r="D7033" s="9">
        <f t="shared" si="109"/>
        <v>38.43</v>
      </c>
      <c r="E7033" s="11"/>
      <c r="F7033" s="9"/>
    </row>
    <row r="7034" s="1" customFormat="1" customHeight="1" spans="1:6">
      <c r="A7034" s="9" t="str">
        <f>"10500523512"</f>
        <v>10500523512</v>
      </c>
      <c r="B7034" s="10">
        <v>0</v>
      </c>
      <c r="C7034" s="9"/>
      <c r="D7034" s="9">
        <f t="shared" si="109"/>
        <v>0</v>
      </c>
      <c r="E7034" s="11"/>
      <c r="F7034" s="9" t="s">
        <v>7</v>
      </c>
    </row>
    <row r="7035" s="1" customFormat="1" customHeight="1" spans="1:6">
      <c r="A7035" s="9" t="str">
        <f>"10300523513"</f>
        <v>10300523513</v>
      </c>
      <c r="B7035" s="10">
        <v>43.45</v>
      </c>
      <c r="C7035" s="9"/>
      <c r="D7035" s="9">
        <f t="shared" si="109"/>
        <v>43.45</v>
      </c>
      <c r="E7035" s="11"/>
      <c r="F7035" s="9"/>
    </row>
    <row r="7036" s="1" customFormat="1" customHeight="1" spans="1:6">
      <c r="A7036" s="9" t="str">
        <f>"10320523514"</f>
        <v>10320523514</v>
      </c>
      <c r="B7036" s="10">
        <v>35.82</v>
      </c>
      <c r="C7036" s="9"/>
      <c r="D7036" s="9">
        <f t="shared" si="109"/>
        <v>35.82</v>
      </c>
      <c r="E7036" s="11"/>
      <c r="F7036" s="9"/>
    </row>
    <row r="7037" s="1" customFormat="1" customHeight="1" spans="1:6">
      <c r="A7037" s="9" t="str">
        <f>"10360523515"</f>
        <v>10360523515</v>
      </c>
      <c r="B7037" s="10">
        <v>0</v>
      </c>
      <c r="C7037" s="9"/>
      <c r="D7037" s="9">
        <f t="shared" si="109"/>
        <v>0</v>
      </c>
      <c r="E7037" s="11"/>
      <c r="F7037" s="9" t="s">
        <v>7</v>
      </c>
    </row>
    <row r="7038" s="1" customFormat="1" customHeight="1" spans="1:6">
      <c r="A7038" s="9" t="str">
        <f>"10510523516"</f>
        <v>10510523516</v>
      </c>
      <c r="B7038" s="10">
        <v>43.79</v>
      </c>
      <c r="C7038" s="9"/>
      <c r="D7038" s="9">
        <f t="shared" si="109"/>
        <v>43.79</v>
      </c>
      <c r="E7038" s="11"/>
      <c r="F7038" s="9"/>
    </row>
    <row r="7039" s="1" customFormat="1" customHeight="1" spans="1:6">
      <c r="A7039" s="9" t="str">
        <f>"10140523517"</f>
        <v>10140523517</v>
      </c>
      <c r="B7039" s="10">
        <v>34.17</v>
      </c>
      <c r="C7039" s="9"/>
      <c r="D7039" s="9">
        <f t="shared" si="109"/>
        <v>34.17</v>
      </c>
      <c r="E7039" s="11"/>
      <c r="F7039" s="9"/>
    </row>
    <row r="7040" s="1" customFormat="1" customHeight="1" spans="1:6">
      <c r="A7040" s="9" t="str">
        <f>"10360523518"</f>
        <v>10360523518</v>
      </c>
      <c r="B7040" s="10">
        <v>37.18</v>
      </c>
      <c r="C7040" s="9"/>
      <c r="D7040" s="9">
        <f t="shared" si="109"/>
        <v>37.18</v>
      </c>
      <c r="E7040" s="11"/>
      <c r="F7040" s="9"/>
    </row>
    <row r="7041" s="1" customFormat="1" customHeight="1" spans="1:6">
      <c r="A7041" s="9" t="str">
        <f>"10360523519"</f>
        <v>10360523519</v>
      </c>
      <c r="B7041" s="10">
        <v>31.64</v>
      </c>
      <c r="C7041" s="9"/>
      <c r="D7041" s="9">
        <f t="shared" si="109"/>
        <v>31.64</v>
      </c>
      <c r="E7041" s="11"/>
      <c r="F7041" s="9"/>
    </row>
    <row r="7042" s="1" customFormat="1" customHeight="1" spans="1:6">
      <c r="A7042" s="9" t="str">
        <f>"10070523520"</f>
        <v>10070523520</v>
      </c>
      <c r="B7042" s="10">
        <v>49.12</v>
      </c>
      <c r="C7042" s="9"/>
      <c r="D7042" s="9">
        <f t="shared" si="109"/>
        <v>49.12</v>
      </c>
      <c r="E7042" s="11"/>
      <c r="F7042" s="9"/>
    </row>
    <row r="7043" s="1" customFormat="1" customHeight="1" spans="1:6">
      <c r="A7043" s="9" t="str">
        <f>"10360523521"</f>
        <v>10360523521</v>
      </c>
      <c r="B7043" s="10">
        <v>39.83</v>
      </c>
      <c r="C7043" s="9"/>
      <c r="D7043" s="9">
        <f t="shared" ref="D7043:D7106" si="110">SUM(B7043:C7043)</f>
        <v>39.83</v>
      </c>
      <c r="E7043" s="11"/>
      <c r="F7043" s="9"/>
    </row>
    <row r="7044" s="1" customFormat="1" customHeight="1" spans="1:6">
      <c r="A7044" s="9" t="str">
        <f>"10360523522"</f>
        <v>10360523522</v>
      </c>
      <c r="B7044" s="10">
        <v>0</v>
      </c>
      <c r="C7044" s="9"/>
      <c r="D7044" s="9">
        <f t="shared" si="110"/>
        <v>0</v>
      </c>
      <c r="E7044" s="11"/>
      <c r="F7044" s="9" t="s">
        <v>7</v>
      </c>
    </row>
    <row r="7045" s="1" customFormat="1" customHeight="1" spans="1:6">
      <c r="A7045" s="9" t="str">
        <f>"10330523523"</f>
        <v>10330523523</v>
      </c>
      <c r="B7045" s="10">
        <v>38.21</v>
      </c>
      <c r="C7045" s="9"/>
      <c r="D7045" s="9">
        <f t="shared" si="110"/>
        <v>38.21</v>
      </c>
      <c r="E7045" s="11"/>
      <c r="F7045" s="9"/>
    </row>
    <row r="7046" s="1" customFormat="1" customHeight="1" spans="1:6">
      <c r="A7046" s="9" t="str">
        <f>"10300523524"</f>
        <v>10300523524</v>
      </c>
      <c r="B7046" s="10">
        <v>43.71</v>
      </c>
      <c r="C7046" s="9"/>
      <c r="D7046" s="9">
        <f t="shared" si="110"/>
        <v>43.71</v>
      </c>
      <c r="E7046" s="11"/>
      <c r="F7046" s="9"/>
    </row>
    <row r="7047" s="1" customFormat="1" customHeight="1" spans="1:6">
      <c r="A7047" s="9" t="str">
        <f>"10230523525"</f>
        <v>10230523525</v>
      </c>
      <c r="B7047" s="10">
        <v>0</v>
      </c>
      <c r="C7047" s="9"/>
      <c r="D7047" s="9">
        <f t="shared" si="110"/>
        <v>0</v>
      </c>
      <c r="E7047" s="11"/>
      <c r="F7047" s="9" t="s">
        <v>7</v>
      </c>
    </row>
    <row r="7048" s="1" customFormat="1" customHeight="1" spans="1:6">
      <c r="A7048" s="9" t="str">
        <f>"10050523526"</f>
        <v>10050523526</v>
      </c>
      <c r="B7048" s="10">
        <v>37.77</v>
      </c>
      <c r="C7048" s="9"/>
      <c r="D7048" s="9">
        <f t="shared" si="110"/>
        <v>37.77</v>
      </c>
      <c r="E7048" s="11"/>
      <c r="F7048" s="9"/>
    </row>
    <row r="7049" s="1" customFormat="1" customHeight="1" spans="1:6">
      <c r="A7049" s="9" t="str">
        <f>"10360523527"</f>
        <v>10360523527</v>
      </c>
      <c r="B7049" s="10">
        <v>42.4</v>
      </c>
      <c r="C7049" s="9"/>
      <c r="D7049" s="9">
        <f t="shared" si="110"/>
        <v>42.4</v>
      </c>
      <c r="E7049" s="11"/>
      <c r="F7049" s="9"/>
    </row>
    <row r="7050" s="1" customFormat="1" customHeight="1" spans="1:6">
      <c r="A7050" s="9" t="str">
        <f>"10360523528"</f>
        <v>10360523528</v>
      </c>
      <c r="B7050" s="10">
        <v>38.03</v>
      </c>
      <c r="C7050" s="9"/>
      <c r="D7050" s="9">
        <f t="shared" si="110"/>
        <v>38.03</v>
      </c>
      <c r="E7050" s="11"/>
      <c r="F7050" s="9"/>
    </row>
    <row r="7051" s="1" customFormat="1" customHeight="1" spans="1:6">
      <c r="A7051" s="9" t="str">
        <f>"10110523529"</f>
        <v>10110523529</v>
      </c>
      <c r="B7051" s="10">
        <v>0</v>
      </c>
      <c r="C7051" s="9"/>
      <c r="D7051" s="9">
        <f t="shared" si="110"/>
        <v>0</v>
      </c>
      <c r="E7051" s="11"/>
      <c r="F7051" s="9" t="s">
        <v>7</v>
      </c>
    </row>
    <row r="7052" s="1" customFormat="1" customHeight="1" spans="1:6">
      <c r="A7052" s="9" t="str">
        <f>"10510523530"</f>
        <v>10510523530</v>
      </c>
      <c r="B7052" s="10">
        <v>23.03</v>
      </c>
      <c r="C7052" s="9"/>
      <c r="D7052" s="9">
        <f t="shared" si="110"/>
        <v>23.03</v>
      </c>
      <c r="E7052" s="11"/>
      <c r="F7052" s="9"/>
    </row>
    <row r="7053" s="1" customFormat="1" customHeight="1" spans="1:6">
      <c r="A7053" s="9" t="str">
        <f>"10360523601"</f>
        <v>10360523601</v>
      </c>
      <c r="B7053" s="10">
        <v>0</v>
      </c>
      <c r="C7053" s="9"/>
      <c r="D7053" s="9">
        <f t="shared" si="110"/>
        <v>0</v>
      </c>
      <c r="E7053" s="11"/>
      <c r="F7053" s="9" t="s">
        <v>7</v>
      </c>
    </row>
    <row r="7054" s="1" customFormat="1" customHeight="1" spans="1:6">
      <c r="A7054" s="9" t="str">
        <f>"10510523602"</f>
        <v>10510523602</v>
      </c>
      <c r="B7054" s="10">
        <v>41.54</v>
      </c>
      <c r="C7054" s="9"/>
      <c r="D7054" s="9">
        <f t="shared" si="110"/>
        <v>41.54</v>
      </c>
      <c r="E7054" s="11"/>
      <c r="F7054" s="9"/>
    </row>
    <row r="7055" s="1" customFormat="1" customHeight="1" spans="1:6">
      <c r="A7055" s="9" t="str">
        <f>"10330523603"</f>
        <v>10330523603</v>
      </c>
      <c r="B7055" s="10">
        <v>51.27</v>
      </c>
      <c r="C7055" s="9"/>
      <c r="D7055" s="9">
        <f t="shared" si="110"/>
        <v>51.27</v>
      </c>
      <c r="E7055" s="11"/>
      <c r="F7055" s="9"/>
    </row>
    <row r="7056" s="1" customFormat="1" customHeight="1" spans="1:6">
      <c r="A7056" s="9" t="str">
        <f>"10360523604"</f>
        <v>10360523604</v>
      </c>
      <c r="B7056" s="10">
        <v>40.51</v>
      </c>
      <c r="C7056" s="9"/>
      <c r="D7056" s="9">
        <f t="shared" si="110"/>
        <v>40.51</v>
      </c>
      <c r="E7056" s="11"/>
      <c r="F7056" s="9"/>
    </row>
    <row r="7057" s="1" customFormat="1" customHeight="1" spans="1:6">
      <c r="A7057" s="9" t="str">
        <f>"10300523605"</f>
        <v>10300523605</v>
      </c>
      <c r="B7057" s="10">
        <v>38.51</v>
      </c>
      <c r="C7057" s="9"/>
      <c r="D7057" s="9">
        <f t="shared" si="110"/>
        <v>38.51</v>
      </c>
      <c r="E7057" s="11"/>
      <c r="F7057" s="9"/>
    </row>
    <row r="7058" s="1" customFormat="1" customHeight="1" spans="1:6">
      <c r="A7058" s="9" t="str">
        <f>"10110523606"</f>
        <v>10110523606</v>
      </c>
      <c r="B7058" s="10">
        <v>47.22</v>
      </c>
      <c r="C7058" s="9"/>
      <c r="D7058" s="9">
        <f t="shared" si="110"/>
        <v>47.22</v>
      </c>
      <c r="E7058" s="11"/>
      <c r="F7058" s="9"/>
    </row>
    <row r="7059" s="1" customFormat="1" customHeight="1" spans="1:6">
      <c r="A7059" s="9" t="str">
        <f>"10360523607"</f>
        <v>10360523607</v>
      </c>
      <c r="B7059" s="10">
        <v>39.13</v>
      </c>
      <c r="C7059" s="9"/>
      <c r="D7059" s="9">
        <f t="shared" si="110"/>
        <v>39.13</v>
      </c>
      <c r="E7059" s="11"/>
      <c r="F7059" s="9"/>
    </row>
    <row r="7060" s="1" customFormat="1" customHeight="1" spans="1:6">
      <c r="A7060" s="9" t="str">
        <f>"10360523608"</f>
        <v>10360523608</v>
      </c>
      <c r="B7060" s="10">
        <v>39.54</v>
      </c>
      <c r="C7060" s="9"/>
      <c r="D7060" s="9">
        <f t="shared" si="110"/>
        <v>39.54</v>
      </c>
      <c r="E7060" s="11"/>
      <c r="F7060" s="9"/>
    </row>
    <row r="7061" s="1" customFormat="1" customHeight="1" spans="1:6">
      <c r="A7061" s="9" t="str">
        <f>"10360523609"</f>
        <v>10360523609</v>
      </c>
      <c r="B7061" s="10">
        <v>37.51</v>
      </c>
      <c r="C7061" s="9"/>
      <c r="D7061" s="9">
        <f t="shared" si="110"/>
        <v>37.51</v>
      </c>
      <c r="E7061" s="11"/>
      <c r="F7061" s="9"/>
    </row>
    <row r="7062" s="1" customFormat="1" customHeight="1" spans="1:6">
      <c r="A7062" s="9" t="str">
        <f>"10110523610"</f>
        <v>10110523610</v>
      </c>
      <c r="B7062" s="10">
        <v>0</v>
      </c>
      <c r="C7062" s="9"/>
      <c r="D7062" s="9">
        <f t="shared" si="110"/>
        <v>0</v>
      </c>
      <c r="E7062" s="11"/>
      <c r="F7062" s="9" t="s">
        <v>7</v>
      </c>
    </row>
    <row r="7063" s="1" customFormat="1" customHeight="1" spans="1:6">
      <c r="A7063" s="9" t="str">
        <f>"10300523611"</f>
        <v>10300523611</v>
      </c>
      <c r="B7063" s="10">
        <v>49.3</v>
      </c>
      <c r="C7063" s="9"/>
      <c r="D7063" s="9">
        <f t="shared" si="110"/>
        <v>49.3</v>
      </c>
      <c r="E7063" s="11"/>
      <c r="F7063" s="9"/>
    </row>
    <row r="7064" s="1" customFormat="1" customHeight="1" spans="1:6">
      <c r="A7064" s="9" t="str">
        <f>"10060523612"</f>
        <v>10060523612</v>
      </c>
      <c r="B7064" s="10">
        <v>0</v>
      </c>
      <c r="C7064" s="9"/>
      <c r="D7064" s="9">
        <f t="shared" si="110"/>
        <v>0</v>
      </c>
      <c r="E7064" s="11"/>
      <c r="F7064" s="9" t="s">
        <v>7</v>
      </c>
    </row>
    <row r="7065" s="1" customFormat="1" customHeight="1" spans="1:6">
      <c r="A7065" s="9" t="str">
        <f>"10090523613"</f>
        <v>10090523613</v>
      </c>
      <c r="B7065" s="10">
        <v>0</v>
      </c>
      <c r="C7065" s="9"/>
      <c r="D7065" s="9">
        <f t="shared" si="110"/>
        <v>0</v>
      </c>
      <c r="E7065" s="11"/>
      <c r="F7065" s="9" t="s">
        <v>7</v>
      </c>
    </row>
    <row r="7066" s="1" customFormat="1" customHeight="1" spans="1:6">
      <c r="A7066" s="9" t="str">
        <f>"10170523614"</f>
        <v>10170523614</v>
      </c>
      <c r="B7066" s="10">
        <v>0</v>
      </c>
      <c r="C7066" s="9"/>
      <c r="D7066" s="9">
        <f t="shared" si="110"/>
        <v>0</v>
      </c>
      <c r="E7066" s="11"/>
      <c r="F7066" s="9" t="s">
        <v>7</v>
      </c>
    </row>
    <row r="7067" s="1" customFormat="1" customHeight="1" spans="1:6">
      <c r="A7067" s="9" t="str">
        <f>"10440523615"</f>
        <v>10440523615</v>
      </c>
      <c r="B7067" s="10">
        <v>0</v>
      </c>
      <c r="C7067" s="9"/>
      <c r="D7067" s="9">
        <f t="shared" si="110"/>
        <v>0</v>
      </c>
      <c r="E7067" s="11"/>
      <c r="F7067" s="9" t="s">
        <v>7</v>
      </c>
    </row>
    <row r="7068" s="1" customFormat="1" customHeight="1" spans="1:6">
      <c r="A7068" s="9" t="str">
        <f>"10160523616"</f>
        <v>10160523616</v>
      </c>
      <c r="B7068" s="10">
        <v>43.26</v>
      </c>
      <c r="C7068" s="9"/>
      <c r="D7068" s="9">
        <f t="shared" si="110"/>
        <v>43.26</v>
      </c>
      <c r="E7068" s="11"/>
      <c r="F7068" s="9"/>
    </row>
    <row r="7069" s="1" customFormat="1" customHeight="1" spans="1:6">
      <c r="A7069" s="9" t="str">
        <f>"10360523617"</f>
        <v>10360523617</v>
      </c>
      <c r="B7069" s="10">
        <v>41.09</v>
      </c>
      <c r="C7069" s="9"/>
      <c r="D7069" s="9">
        <f t="shared" si="110"/>
        <v>41.09</v>
      </c>
      <c r="E7069" s="11"/>
      <c r="F7069" s="9"/>
    </row>
    <row r="7070" s="1" customFormat="1" customHeight="1" spans="1:6">
      <c r="A7070" s="9" t="str">
        <f>"10400523618"</f>
        <v>10400523618</v>
      </c>
      <c r="B7070" s="10">
        <v>31.17</v>
      </c>
      <c r="C7070" s="9"/>
      <c r="D7070" s="9">
        <f t="shared" si="110"/>
        <v>31.17</v>
      </c>
      <c r="E7070" s="11"/>
      <c r="F7070" s="9"/>
    </row>
    <row r="7071" s="1" customFormat="1" customHeight="1" spans="1:6">
      <c r="A7071" s="9" t="str">
        <f>"10440523619"</f>
        <v>10440523619</v>
      </c>
      <c r="B7071" s="10">
        <v>0</v>
      </c>
      <c r="C7071" s="9"/>
      <c r="D7071" s="9">
        <f t="shared" si="110"/>
        <v>0</v>
      </c>
      <c r="E7071" s="11"/>
      <c r="F7071" s="9" t="s">
        <v>7</v>
      </c>
    </row>
    <row r="7072" s="1" customFormat="1" customHeight="1" spans="1:6">
      <c r="A7072" s="9" t="str">
        <f>"10300523620"</f>
        <v>10300523620</v>
      </c>
      <c r="B7072" s="10">
        <v>0</v>
      </c>
      <c r="C7072" s="9"/>
      <c r="D7072" s="9">
        <f t="shared" si="110"/>
        <v>0</v>
      </c>
      <c r="E7072" s="11"/>
      <c r="F7072" s="9" t="s">
        <v>7</v>
      </c>
    </row>
    <row r="7073" s="1" customFormat="1" customHeight="1" spans="1:6">
      <c r="A7073" s="9" t="str">
        <f>"10420523621"</f>
        <v>10420523621</v>
      </c>
      <c r="B7073" s="10">
        <v>47.25</v>
      </c>
      <c r="C7073" s="9"/>
      <c r="D7073" s="9">
        <f t="shared" si="110"/>
        <v>47.25</v>
      </c>
      <c r="E7073" s="11"/>
      <c r="F7073" s="9"/>
    </row>
    <row r="7074" s="1" customFormat="1" customHeight="1" spans="1:6">
      <c r="A7074" s="9" t="str">
        <f>"10360523622"</f>
        <v>10360523622</v>
      </c>
      <c r="B7074" s="10">
        <v>46.21</v>
      </c>
      <c r="C7074" s="9"/>
      <c r="D7074" s="9">
        <f t="shared" si="110"/>
        <v>46.21</v>
      </c>
      <c r="E7074" s="11"/>
      <c r="F7074" s="9"/>
    </row>
    <row r="7075" s="1" customFormat="1" customHeight="1" spans="1:6">
      <c r="A7075" s="9" t="str">
        <f>"10180523623"</f>
        <v>10180523623</v>
      </c>
      <c r="B7075" s="10">
        <v>42.98</v>
      </c>
      <c r="C7075" s="9"/>
      <c r="D7075" s="9">
        <f t="shared" si="110"/>
        <v>42.98</v>
      </c>
      <c r="E7075" s="11"/>
      <c r="F7075" s="9"/>
    </row>
    <row r="7076" s="1" customFormat="1" customHeight="1" spans="1:6">
      <c r="A7076" s="9" t="str">
        <f>"10410523624"</f>
        <v>10410523624</v>
      </c>
      <c r="B7076" s="10">
        <v>39.87</v>
      </c>
      <c r="C7076" s="9"/>
      <c r="D7076" s="9">
        <f t="shared" si="110"/>
        <v>39.87</v>
      </c>
      <c r="E7076" s="11"/>
      <c r="F7076" s="9"/>
    </row>
    <row r="7077" s="1" customFormat="1" customHeight="1" spans="1:6">
      <c r="A7077" s="9" t="str">
        <f>"20180523625"</f>
        <v>20180523625</v>
      </c>
      <c r="B7077" s="10">
        <v>34.92</v>
      </c>
      <c r="C7077" s="9"/>
      <c r="D7077" s="9">
        <f t="shared" si="110"/>
        <v>34.92</v>
      </c>
      <c r="E7077" s="11"/>
      <c r="F7077" s="9"/>
    </row>
    <row r="7078" s="1" customFormat="1" customHeight="1" spans="1:6">
      <c r="A7078" s="9" t="str">
        <f>"10490523626"</f>
        <v>10490523626</v>
      </c>
      <c r="B7078" s="10">
        <v>41.66</v>
      </c>
      <c r="C7078" s="9"/>
      <c r="D7078" s="9">
        <f t="shared" si="110"/>
        <v>41.66</v>
      </c>
      <c r="E7078" s="11"/>
      <c r="F7078" s="9"/>
    </row>
    <row r="7079" s="1" customFormat="1" customHeight="1" spans="1:6">
      <c r="A7079" s="9" t="str">
        <f>"10020523627"</f>
        <v>10020523627</v>
      </c>
      <c r="B7079" s="10">
        <v>40.63</v>
      </c>
      <c r="C7079" s="9"/>
      <c r="D7079" s="9">
        <f t="shared" si="110"/>
        <v>40.63</v>
      </c>
      <c r="E7079" s="11"/>
      <c r="F7079" s="9"/>
    </row>
    <row r="7080" s="1" customFormat="1" customHeight="1" spans="1:6">
      <c r="A7080" s="9" t="str">
        <f>"10190523628"</f>
        <v>10190523628</v>
      </c>
      <c r="B7080" s="10">
        <v>40.99</v>
      </c>
      <c r="C7080" s="9"/>
      <c r="D7080" s="9">
        <f t="shared" si="110"/>
        <v>40.99</v>
      </c>
      <c r="E7080" s="11"/>
      <c r="F7080" s="9"/>
    </row>
    <row r="7081" s="1" customFormat="1" customHeight="1" spans="1:6">
      <c r="A7081" s="9" t="str">
        <f>"10530523629"</f>
        <v>10530523629</v>
      </c>
      <c r="B7081" s="10">
        <v>51.05</v>
      </c>
      <c r="C7081" s="9"/>
      <c r="D7081" s="9">
        <f t="shared" si="110"/>
        <v>51.05</v>
      </c>
      <c r="E7081" s="11"/>
      <c r="F7081" s="9"/>
    </row>
    <row r="7082" s="1" customFormat="1" customHeight="1" spans="1:6">
      <c r="A7082" s="9" t="str">
        <f>"10530523630"</f>
        <v>10530523630</v>
      </c>
      <c r="B7082" s="10">
        <v>52.79</v>
      </c>
      <c r="C7082" s="9"/>
      <c r="D7082" s="9">
        <f t="shared" si="110"/>
        <v>52.79</v>
      </c>
      <c r="E7082" s="11"/>
      <c r="F7082" s="9"/>
    </row>
    <row r="7083" s="1" customFormat="1" customHeight="1" spans="1:6">
      <c r="A7083" s="9" t="str">
        <f>"10300523701"</f>
        <v>10300523701</v>
      </c>
      <c r="B7083" s="10">
        <v>0</v>
      </c>
      <c r="C7083" s="9"/>
      <c r="D7083" s="9">
        <f t="shared" si="110"/>
        <v>0</v>
      </c>
      <c r="E7083" s="11"/>
      <c r="F7083" s="9" t="s">
        <v>7</v>
      </c>
    </row>
    <row r="7084" s="1" customFormat="1" customHeight="1" spans="1:6">
      <c r="A7084" s="9" t="str">
        <f>"10300523702"</f>
        <v>10300523702</v>
      </c>
      <c r="B7084" s="10">
        <v>0</v>
      </c>
      <c r="C7084" s="9"/>
      <c r="D7084" s="9">
        <f t="shared" si="110"/>
        <v>0</v>
      </c>
      <c r="E7084" s="11"/>
      <c r="F7084" s="9" t="s">
        <v>7</v>
      </c>
    </row>
    <row r="7085" s="1" customFormat="1" customHeight="1" spans="1:6">
      <c r="A7085" s="9" t="str">
        <f>"10240523703"</f>
        <v>10240523703</v>
      </c>
      <c r="B7085" s="10">
        <v>42.45</v>
      </c>
      <c r="C7085" s="9"/>
      <c r="D7085" s="9">
        <f t="shared" si="110"/>
        <v>42.45</v>
      </c>
      <c r="E7085" s="11"/>
      <c r="F7085" s="9"/>
    </row>
    <row r="7086" s="1" customFormat="1" customHeight="1" spans="1:6">
      <c r="A7086" s="9" t="str">
        <f>"10130523704"</f>
        <v>10130523704</v>
      </c>
      <c r="B7086" s="10">
        <v>39.21</v>
      </c>
      <c r="C7086" s="9"/>
      <c r="D7086" s="9">
        <f t="shared" si="110"/>
        <v>39.21</v>
      </c>
      <c r="E7086" s="11"/>
      <c r="F7086" s="9"/>
    </row>
    <row r="7087" s="1" customFormat="1" customHeight="1" spans="1:6">
      <c r="A7087" s="9" t="str">
        <f>"10530523705"</f>
        <v>10530523705</v>
      </c>
      <c r="B7087" s="10">
        <v>0</v>
      </c>
      <c r="C7087" s="9"/>
      <c r="D7087" s="9">
        <f t="shared" si="110"/>
        <v>0</v>
      </c>
      <c r="E7087" s="11"/>
      <c r="F7087" s="9" t="s">
        <v>7</v>
      </c>
    </row>
    <row r="7088" s="1" customFormat="1" customHeight="1" spans="1:6">
      <c r="A7088" s="9" t="str">
        <f>"10380523706"</f>
        <v>10380523706</v>
      </c>
      <c r="B7088" s="10">
        <v>37.38</v>
      </c>
      <c r="C7088" s="9"/>
      <c r="D7088" s="9">
        <f t="shared" si="110"/>
        <v>37.38</v>
      </c>
      <c r="E7088" s="11"/>
      <c r="F7088" s="9"/>
    </row>
    <row r="7089" s="1" customFormat="1" customHeight="1" spans="1:6">
      <c r="A7089" s="9" t="str">
        <f>"10510523707"</f>
        <v>10510523707</v>
      </c>
      <c r="B7089" s="10">
        <v>52.51</v>
      </c>
      <c r="C7089" s="9"/>
      <c r="D7089" s="9">
        <f t="shared" si="110"/>
        <v>52.51</v>
      </c>
      <c r="E7089" s="11"/>
      <c r="F7089" s="9"/>
    </row>
    <row r="7090" s="1" customFormat="1" customHeight="1" spans="1:6">
      <c r="A7090" s="9" t="str">
        <f>"10060523708"</f>
        <v>10060523708</v>
      </c>
      <c r="B7090" s="10">
        <v>0</v>
      </c>
      <c r="C7090" s="9"/>
      <c r="D7090" s="9">
        <f t="shared" si="110"/>
        <v>0</v>
      </c>
      <c r="E7090" s="11"/>
      <c r="F7090" s="9" t="s">
        <v>7</v>
      </c>
    </row>
    <row r="7091" s="1" customFormat="1" customHeight="1" spans="1:6">
      <c r="A7091" s="9" t="str">
        <f>"10330523709"</f>
        <v>10330523709</v>
      </c>
      <c r="B7091" s="10">
        <v>0</v>
      </c>
      <c r="C7091" s="9"/>
      <c r="D7091" s="9">
        <f t="shared" si="110"/>
        <v>0</v>
      </c>
      <c r="E7091" s="11"/>
      <c r="F7091" s="9" t="s">
        <v>7</v>
      </c>
    </row>
    <row r="7092" s="1" customFormat="1" customHeight="1" spans="1:6">
      <c r="A7092" s="9" t="str">
        <f>"10380523710"</f>
        <v>10380523710</v>
      </c>
      <c r="B7092" s="10">
        <v>0</v>
      </c>
      <c r="C7092" s="9"/>
      <c r="D7092" s="9">
        <f t="shared" si="110"/>
        <v>0</v>
      </c>
      <c r="E7092" s="11"/>
      <c r="F7092" s="9" t="s">
        <v>7</v>
      </c>
    </row>
    <row r="7093" s="1" customFormat="1" customHeight="1" spans="1:6">
      <c r="A7093" s="9" t="str">
        <f>"10360523711"</f>
        <v>10360523711</v>
      </c>
      <c r="B7093" s="10">
        <v>0</v>
      </c>
      <c r="C7093" s="9"/>
      <c r="D7093" s="9">
        <f t="shared" si="110"/>
        <v>0</v>
      </c>
      <c r="E7093" s="11"/>
      <c r="F7093" s="9" t="s">
        <v>7</v>
      </c>
    </row>
    <row r="7094" s="1" customFormat="1" customHeight="1" spans="1:6">
      <c r="A7094" s="9" t="str">
        <f>"10210523712"</f>
        <v>10210523712</v>
      </c>
      <c r="B7094" s="10">
        <v>43.32</v>
      </c>
      <c r="C7094" s="9"/>
      <c r="D7094" s="9">
        <f t="shared" si="110"/>
        <v>43.32</v>
      </c>
      <c r="E7094" s="11"/>
      <c r="F7094" s="9"/>
    </row>
    <row r="7095" s="1" customFormat="1" customHeight="1" spans="1:6">
      <c r="A7095" s="9" t="str">
        <f>"10360523713"</f>
        <v>10360523713</v>
      </c>
      <c r="B7095" s="10">
        <v>36.91</v>
      </c>
      <c r="C7095" s="9"/>
      <c r="D7095" s="9">
        <f t="shared" si="110"/>
        <v>36.91</v>
      </c>
      <c r="E7095" s="11"/>
      <c r="F7095" s="9"/>
    </row>
    <row r="7096" s="1" customFormat="1" customHeight="1" spans="1:6">
      <c r="A7096" s="9" t="str">
        <f>"10210523714"</f>
        <v>10210523714</v>
      </c>
      <c r="B7096" s="10">
        <v>0</v>
      </c>
      <c r="C7096" s="9"/>
      <c r="D7096" s="9">
        <f t="shared" si="110"/>
        <v>0</v>
      </c>
      <c r="E7096" s="11"/>
      <c r="F7096" s="9" t="s">
        <v>7</v>
      </c>
    </row>
    <row r="7097" s="1" customFormat="1" customHeight="1" spans="1:6">
      <c r="A7097" s="9" t="str">
        <f>"10090523715"</f>
        <v>10090523715</v>
      </c>
      <c r="B7097" s="10">
        <v>43.35</v>
      </c>
      <c r="C7097" s="9"/>
      <c r="D7097" s="9">
        <f t="shared" si="110"/>
        <v>43.35</v>
      </c>
      <c r="E7097" s="11"/>
      <c r="F7097" s="9"/>
    </row>
    <row r="7098" s="1" customFormat="1" customHeight="1" spans="1:6">
      <c r="A7098" s="9" t="str">
        <f>"10500523716"</f>
        <v>10500523716</v>
      </c>
      <c r="B7098" s="10">
        <v>32.52</v>
      </c>
      <c r="C7098" s="9"/>
      <c r="D7098" s="9">
        <f t="shared" si="110"/>
        <v>32.52</v>
      </c>
      <c r="E7098" s="11"/>
      <c r="F7098" s="9"/>
    </row>
    <row r="7099" s="1" customFormat="1" customHeight="1" spans="1:6">
      <c r="A7099" s="9" t="str">
        <f>"10360523717"</f>
        <v>10360523717</v>
      </c>
      <c r="B7099" s="10">
        <v>44.33</v>
      </c>
      <c r="C7099" s="9"/>
      <c r="D7099" s="9">
        <f t="shared" si="110"/>
        <v>44.33</v>
      </c>
      <c r="E7099" s="11"/>
      <c r="F7099" s="9"/>
    </row>
    <row r="7100" s="1" customFormat="1" customHeight="1" spans="1:6">
      <c r="A7100" s="9" t="str">
        <f>"10510523718"</f>
        <v>10510523718</v>
      </c>
      <c r="B7100" s="10">
        <v>43.25</v>
      </c>
      <c r="C7100" s="9"/>
      <c r="D7100" s="9">
        <f t="shared" si="110"/>
        <v>43.25</v>
      </c>
      <c r="E7100" s="11"/>
      <c r="F7100" s="9"/>
    </row>
    <row r="7101" s="1" customFormat="1" customHeight="1" spans="1:6">
      <c r="A7101" s="9" t="str">
        <f>"10360523719"</f>
        <v>10360523719</v>
      </c>
      <c r="B7101" s="10">
        <v>45.14</v>
      </c>
      <c r="C7101" s="9"/>
      <c r="D7101" s="9">
        <f t="shared" si="110"/>
        <v>45.14</v>
      </c>
      <c r="E7101" s="11"/>
      <c r="F7101" s="9"/>
    </row>
    <row r="7102" s="1" customFormat="1" customHeight="1" spans="1:6">
      <c r="A7102" s="9" t="str">
        <f>"10270523720"</f>
        <v>10270523720</v>
      </c>
      <c r="B7102" s="10">
        <v>0</v>
      </c>
      <c r="C7102" s="9"/>
      <c r="D7102" s="9">
        <f t="shared" si="110"/>
        <v>0</v>
      </c>
      <c r="E7102" s="11"/>
      <c r="F7102" s="9" t="s">
        <v>7</v>
      </c>
    </row>
    <row r="7103" s="1" customFormat="1" customHeight="1" spans="1:6">
      <c r="A7103" s="9" t="str">
        <f>"10480523721"</f>
        <v>10480523721</v>
      </c>
      <c r="B7103" s="10">
        <v>44.53</v>
      </c>
      <c r="C7103" s="9"/>
      <c r="D7103" s="9">
        <f t="shared" si="110"/>
        <v>44.53</v>
      </c>
      <c r="E7103" s="11"/>
      <c r="F7103" s="9"/>
    </row>
    <row r="7104" s="1" customFormat="1" customHeight="1" spans="1:6">
      <c r="A7104" s="9" t="str">
        <f>"10100523722"</f>
        <v>10100523722</v>
      </c>
      <c r="B7104" s="10">
        <v>0</v>
      </c>
      <c r="C7104" s="9"/>
      <c r="D7104" s="9">
        <f t="shared" si="110"/>
        <v>0</v>
      </c>
      <c r="E7104" s="11"/>
      <c r="F7104" s="9" t="s">
        <v>7</v>
      </c>
    </row>
    <row r="7105" s="1" customFormat="1" customHeight="1" spans="1:6">
      <c r="A7105" s="9" t="str">
        <f>"10530523723"</f>
        <v>10530523723</v>
      </c>
      <c r="B7105" s="10">
        <v>0</v>
      </c>
      <c r="C7105" s="9"/>
      <c r="D7105" s="9">
        <f t="shared" si="110"/>
        <v>0</v>
      </c>
      <c r="E7105" s="11"/>
      <c r="F7105" s="9" t="s">
        <v>7</v>
      </c>
    </row>
    <row r="7106" s="1" customFormat="1" customHeight="1" spans="1:6">
      <c r="A7106" s="9" t="str">
        <f>"10060523724"</f>
        <v>10060523724</v>
      </c>
      <c r="B7106" s="10">
        <v>38.05</v>
      </c>
      <c r="C7106" s="9"/>
      <c r="D7106" s="9">
        <f t="shared" si="110"/>
        <v>38.05</v>
      </c>
      <c r="E7106" s="11"/>
      <c r="F7106" s="9"/>
    </row>
    <row r="7107" s="1" customFormat="1" customHeight="1" spans="1:6">
      <c r="A7107" s="9" t="str">
        <f>"10360523725"</f>
        <v>10360523725</v>
      </c>
      <c r="B7107" s="10">
        <v>31.68</v>
      </c>
      <c r="C7107" s="9"/>
      <c r="D7107" s="9">
        <f t="shared" ref="D7107:D7170" si="111">SUM(B7107:C7107)</f>
        <v>31.68</v>
      </c>
      <c r="E7107" s="11"/>
      <c r="F7107" s="9"/>
    </row>
    <row r="7108" s="1" customFormat="1" customHeight="1" spans="1:6">
      <c r="A7108" s="9" t="str">
        <f>"10430523726"</f>
        <v>10430523726</v>
      </c>
      <c r="B7108" s="10">
        <v>39.12</v>
      </c>
      <c r="C7108" s="9"/>
      <c r="D7108" s="9">
        <f t="shared" si="111"/>
        <v>39.12</v>
      </c>
      <c r="E7108" s="11"/>
      <c r="F7108" s="9"/>
    </row>
    <row r="7109" s="1" customFormat="1" customHeight="1" spans="1:6">
      <c r="A7109" s="9" t="str">
        <f>"10360523727"</f>
        <v>10360523727</v>
      </c>
      <c r="B7109" s="10">
        <v>0</v>
      </c>
      <c r="C7109" s="9"/>
      <c r="D7109" s="9">
        <f t="shared" si="111"/>
        <v>0</v>
      </c>
      <c r="E7109" s="11"/>
      <c r="F7109" s="9" t="s">
        <v>7</v>
      </c>
    </row>
    <row r="7110" s="1" customFormat="1" customHeight="1" spans="1:6">
      <c r="A7110" s="9" t="str">
        <f>"10360523728"</f>
        <v>10360523728</v>
      </c>
      <c r="B7110" s="10">
        <v>35.82</v>
      </c>
      <c r="C7110" s="9"/>
      <c r="D7110" s="9">
        <f t="shared" si="111"/>
        <v>35.82</v>
      </c>
      <c r="E7110" s="11"/>
      <c r="F7110" s="9"/>
    </row>
    <row r="7111" s="1" customFormat="1" customHeight="1" spans="1:6">
      <c r="A7111" s="9" t="str">
        <f>"10370523729"</f>
        <v>10370523729</v>
      </c>
      <c r="B7111" s="10">
        <v>46.39</v>
      </c>
      <c r="C7111" s="9"/>
      <c r="D7111" s="9">
        <f t="shared" si="111"/>
        <v>46.39</v>
      </c>
      <c r="E7111" s="11"/>
      <c r="F7111" s="9"/>
    </row>
    <row r="7112" s="1" customFormat="1" customHeight="1" spans="1:6">
      <c r="A7112" s="9" t="str">
        <f>"10330523730"</f>
        <v>10330523730</v>
      </c>
      <c r="B7112" s="10">
        <v>0</v>
      </c>
      <c r="C7112" s="9"/>
      <c r="D7112" s="9">
        <f t="shared" si="111"/>
        <v>0</v>
      </c>
      <c r="E7112" s="11"/>
      <c r="F7112" s="9" t="s">
        <v>7</v>
      </c>
    </row>
    <row r="7113" s="1" customFormat="1" customHeight="1" spans="1:6">
      <c r="A7113" s="9" t="str">
        <f>"10090523801"</f>
        <v>10090523801</v>
      </c>
      <c r="B7113" s="10">
        <v>49.32</v>
      </c>
      <c r="C7113" s="9"/>
      <c r="D7113" s="9">
        <f t="shared" si="111"/>
        <v>49.32</v>
      </c>
      <c r="E7113" s="11"/>
      <c r="F7113" s="9"/>
    </row>
    <row r="7114" s="1" customFormat="1" customHeight="1" spans="1:6">
      <c r="A7114" s="9" t="str">
        <f>"10360523802"</f>
        <v>10360523802</v>
      </c>
      <c r="B7114" s="10">
        <v>35.02</v>
      </c>
      <c r="C7114" s="9"/>
      <c r="D7114" s="9">
        <f t="shared" si="111"/>
        <v>35.02</v>
      </c>
      <c r="E7114" s="11"/>
      <c r="F7114" s="9"/>
    </row>
    <row r="7115" s="1" customFormat="1" customHeight="1" spans="1:6">
      <c r="A7115" s="9" t="str">
        <f>"10500523803"</f>
        <v>10500523803</v>
      </c>
      <c r="B7115" s="10">
        <v>40.58</v>
      </c>
      <c r="C7115" s="9"/>
      <c r="D7115" s="9">
        <f t="shared" si="111"/>
        <v>40.58</v>
      </c>
      <c r="E7115" s="11"/>
      <c r="F7115" s="9"/>
    </row>
    <row r="7116" s="1" customFormat="1" customHeight="1" spans="1:6">
      <c r="A7116" s="9" t="str">
        <f>"10020523804"</f>
        <v>10020523804</v>
      </c>
      <c r="B7116" s="10">
        <v>45.39</v>
      </c>
      <c r="C7116" s="9"/>
      <c r="D7116" s="9">
        <f t="shared" si="111"/>
        <v>45.39</v>
      </c>
      <c r="E7116" s="11"/>
      <c r="F7116" s="9"/>
    </row>
    <row r="7117" s="1" customFormat="1" customHeight="1" spans="1:6">
      <c r="A7117" s="9" t="str">
        <f>"10500523805"</f>
        <v>10500523805</v>
      </c>
      <c r="B7117" s="10">
        <v>0</v>
      </c>
      <c r="C7117" s="9"/>
      <c r="D7117" s="9">
        <f t="shared" si="111"/>
        <v>0</v>
      </c>
      <c r="E7117" s="11"/>
      <c r="F7117" s="9" t="s">
        <v>7</v>
      </c>
    </row>
    <row r="7118" s="1" customFormat="1" customHeight="1" spans="1:6">
      <c r="A7118" s="9" t="str">
        <f>"10130523806"</f>
        <v>10130523806</v>
      </c>
      <c r="B7118" s="10">
        <v>0</v>
      </c>
      <c r="C7118" s="9"/>
      <c r="D7118" s="9">
        <f t="shared" si="111"/>
        <v>0</v>
      </c>
      <c r="E7118" s="11"/>
      <c r="F7118" s="9" t="s">
        <v>7</v>
      </c>
    </row>
    <row r="7119" s="1" customFormat="1" customHeight="1" spans="1:6">
      <c r="A7119" s="9" t="str">
        <f>"10360523807"</f>
        <v>10360523807</v>
      </c>
      <c r="B7119" s="10">
        <v>41.96</v>
      </c>
      <c r="C7119" s="9"/>
      <c r="D7119" s="9">
        <f t="shared" si="111"/>
        <v>41.96</v>
      </c>
      <c r="E7119" s="11"/>
      <c r="F7119" s="9"/>
    </row>
    <row r="7120" s="1" customFormat="1" customHeight="1" spans="1:6">
      <c r="A7120" s="9" t="str">
        <f>"10300523808"</f>
        <v>10300523808</v>
      </c>
      <c r="B7120" s="10">
        <v>34.88</v>
      </c>
      <c r="C7120" s="9"/>
      <c r="D7120" s="9">
        <f t="shared" si="111"/>
        <v>34.88</v>
      </c>
      <c r="E7120" s="11"/>
      <c r="F7120" s="9"/>
    </row>
    <row r="7121" s="1" customFormat="1" customHeight="1" spans="1:6">
      <c r="A7121" s="9" t="str">
        <f>"10010523809"</f>
        <v>10010523809</v>
      </c>
      <c r="B7121" s="10">
        <v>36</v>
      </c>
      <c r="C7121" s="9"/>
      <c r="D7121" s="9">
        <f t="shared" si="111"/>
        <v>36</v>
      </c>
      <c r="E7121" s="11"/>
      <c r="F7121" s="9"/>
    </row>
    <row r="7122" s="1" customFormat="1" customHeight="1" spans="1:6">
      <c r="A7122" s="9" t="str">
        <f>"10210523810"</f>
        <v>10210523810</v>
      </c>
      <c r="B7122" s="10">
        <v>40.6</v>
      </c>
      <c r="C7122" s="9"/>
      <c r="D7122" s="9">
        <f t="shared" si="111"/>
        <v>40.6</v>
      </c>
      <c r="E7122" s="11"/>
      <c r="F7122" s="9"/>
    </row>
    <row r="7123" s="1" customFormat="1" customHeight="1" spans="1:6">
      <c r="A7123" s="9" t="str">
        <f>"10080523811"</f>
        <v>10080523811</v>
      </c>
      <c r="B7123" s="10">
        <v>42.64</v>
      </c>
      <c r="C7123" s="9"/>
      <c r="D7123" s="9">
        <f t="shared" si="111"/>
        <v>42.64</v>
      </c>
      <c r="E7123" s="11"/>
      <c r="F7123" s="9"/>
    </row>
    <row r="7124" s="1" customFormat="1" customHeight="1" spans="1:6">
      <c r="A7124" s="9" t="str">
        <f>"10360523812"</f>
        <v>10360523812</v>
      </c>
      <c r="B7124" s="10">
        <v>46.21</v>
      </c>
      <c r="C7124" s="9"/>
      <c r="D7124" s="9">
        <f t="shared" si="111"/>
        <v>46.21</v>
      </c>
      <c r="E7124" s="11"/>
      <c r="F7124" s="9"/>
    </row>
    <row r="7125" s="1" customFormat="1" customHeight="1" spans="1:6">
      <c r="A7125" s="9" t="str">
        <f>"10330523813"</f>
        <v>10330523813</v>
      </c>
      <c r="B7125" s="10">
        <v>0</v>
      </c>
      <c r="C7125" s="9"/>
      <c r="D7125" s="9">
        <f t="shared" si="111"/>
        <v>0</v>
      </c>
      <c r="E7125" s="11"/>
      <c r="F7125" s="9" t="s">
        <v>7</v>
      </c>
    </row>
    <row r="7126" s="1" customFormat="1" customHeight="1" spans="1:6">
      <c r="A7126" s="9" t="str">
        <f>"10530523814"</f>
        <v>10530523814</v>
      </c>
      <c r="B7126" s="10">
        <v>36.95</v>
      </c>
      <c r="C7126" s="9"/>
      <c r="D7126" s="9">
        <f t="shared" si="111"/>
        <v>36.95</v>
      </c>
      <c r="E7126" s="11"/>
      <c r="F7126" s="9"/>
    </row>
    <row r="7127" s="1" customFormat="1" customHeight="1" spans="1:6">
      <c r="A7127" s="9" t="str">
        <f>"20180523815"</f>
        <v>20180523815</v>
      </c>
      <c r="B7127" s="10">
        <v>43.96</v>
      </c>
      <c r="C7127" s="9"/>
      <c r="D7127" s="9">
        <f t="shared" si="111"/>
        <v>43.96</v>
      </c>
      <c r="E7127" s="11"/>
      <c r="F7127" s="9"/>
    </row>
    <row r="7128" s="1" customFormat="1" customHeight="1" spans="1:6">
      <c r="A7128" s="9" t="str">
        <f>"10360523816"</f>
        <v>10360523816</v>
      </c>
      <c r="B7128" s="10">
        <v>38.46</v>
      </c>
      <c r="C7128" s="9"/>
      <c r="D7128" s="9">
        <f t="shared" si="111"/>
        <v>38.46</v>
      </c>
      <c r="E7128" s="11"/>
      <c r="F7128" s="9"/>
    </row>
    <row r="7129" s="1" customFormat="1" customHeight="1" spans="1:6">
      <c r="A7129" s="9" t="str">
        <f>"10010523817"</f>
        <v>10010523817</v>
      </c>
      <c r="B7129" s="10">
        <v>43.88</v>
      </c>
      <c r="C7129" s="9"/>
      <c r="D7129" s="9">
        <f t="shared" si="111"/>
        <v>43.88</v>
      </c>
      <c r="E7129" s="11"/>
      <c r="F7129" s="9"/>
    </row>
    <row r="7130" s="1" customFormat="1" customHeight="1" spans="1:6">
      <c r="A7130" s="9" t="str">
        <f>"10090523818"</f>
        <v>10090523818</v>
      </c>
      <c r="B7130" s="10">
        <v>39.8</v>
      </c>
      <c r="C7130" s="9"/>
      <c r="D7130" s="9">
        <f t="shared" si="111"/>
        <v>39.8</v>
      </c>
      <c r="E7130" s="11"/>
      <c r="F7130" s="9"/>
    </row>
    <row r="7131" s="1" customFormat="1" customHeight="1" spans="1:6">
      <c r="A7131" s="9" t="str">
        <f>"10160523819"</f>
        <v>10160523819</v>
      </c>
      <c r="B7131" s="10">
        <v>40.25</v>
      </c>
      <c r="C7131" s="9"/>
      <c r="D7131" s="9">
        <f t="shared" si="111"/>
        <v>40.25</v>
      </c>
      <c r="E7131" s="11"/>
      <c r="F7131" s="9"/>
    </row>
    <row r="7132" s="1" customFormat="1" customHeight="1" spans="1:6">
      <c r="A7132" s="9" t="str">
        <f>"10240523820"</f>
        <v>10240523820</v>
      </c>
      <c r="B7132" s="10">
        <v>47.45</v>
      </c>
      <c r="C7132" s="9"/>
      <c r="D7132" s="9">
        <f t="shared" si="111"/>
        <v>47.45</v>
      </c>
      <c r="E7132" s="11"/>
      <c r="F7132" s="9"/>
    </row>
    <row r="7133" s="1" customFormat="1" customHeight="1" spans="1:6">
      <c r="A7133" s="9" t="str">
        <f>"10380523821"</f>
        <v>10380523821</v>
      </c>
      <c r="B7133" s="10">
        <v>0</v>
      </c>
      <c r="C7133" s="9"/>
      <c r="D7133" s="9">
        <f t="shared" si="111"/>
        <v>0</v>
      </c>
      <c r="E7133" s="11"/>
      <c r="F7133" s="9" t="s">
        <v>7</v>
      </c>
    </row>
    <row r="7134" s="1" customFormat="1" customHeight="1" spans="1:6">
      <c r="A7134" s="9" t="str">
        <f>"10040523822"</f>
        <v>10040523822</v>
      </c>
      <c r="B7134" s="10">
        <v>48.37</v>
      </c>
      <c r="C7134" s="9"/>
      <c r="D7134" s="9">
        <f t="shared" si="111"/>
        <v>48.37</v>
      </c>
      <c r="E7134" s="11"/>
      <c r="F7134" s="9"/>
    </row>
    <row r="7135" s="1" customFormat="1" customHeight="1" spans="1:6">
      <c r="A7135" s="9" t="str">
        <f>"10350523823"</f>
        <v>10350523823</v>
      </c>
      <c r="B7135" s="10">
        <v>31.32</v>
      </c>
      <c r="C7135" s="9"/>
      <c r="D7135" s="9">
        <f t="shared" si="111"/>
        <v>31.32</v>
      </c>
      <c r="E7135" s="11"/>
      <c r="F7135" s="9"/>
    </row>
    <row r="7136" s="1" customFormat="1" customHeight="1" spans="1:6">
      <c r="A7136" s="9" t="str">
        <f>"10340523824"</f>
        <v>10340523824</v>
      </c>
      <c r="B7136" s="10">
        <v>0</v>
      </c>
      <c r="C7136" s="9"/>
      <c r="D7136" s="9">
        <f t="shared" si="111"/>
        <v>0</v>
      </c>
      <c r="E7136" s="11"/>
      <c r="F7136" s="9" t="s">
        <v>7</v>
      </c>
    </row>
    <row r="7137" s="1" customFormat="1" customHeight="1" spans="1:6">
      <c r="A7137" s="9" t="str">
        <f>"10090523825"</f>
        <v>10090523825</v>
      </c>
      <c r="B7137" s="10">
        <v>44.62</v>
      </c>
      <c r="C7137" s="9"/>
      <c r="D7137" s="9">
        <f t="shared" si="111"/>
        <v>44.62</v>
      </c>
      <c r="E7137" s="11"/>
      <c r="F7137" s="9"/>
    </row>
    <row r="7138" s="1" customFormat="1" customHeight="1" spans="1:6">
      <c r="A7138" s="9" t="str">
        <f>"10360523826"</f>
        <v>10360523826</v>
      </c>
      <c r="B7138" s="10">
        <v>40.67</v>
      </c>
      <c r="C7138" s="9">
        <v>10</v>
      </c>
      <c r="D7138" s="9">
        <f t="shared" si="111"/>
        <v>50.67</v>
      </c>
      <c r="E7138" s="12" t="s">
        <v>8</v>
      </c>
      <c r="F7138" s="9"/>
    </row>
    <row r="7139" s="1" customFormat="1" customHeight="1" spans="1:6">
      <c r="A7139" s="9" t="str">
        <f>"10070523827"</f>
        <v>10070523827</v>
      </c>
      <c r="B7139" s="10">
        <v>41.62</v>
      </c>
      <c r="C7139" s="9"/>
      <c r="D7139" s="9">
        <f t="shared" si="111"/>
        <v>41.62</v>
      </c>
      <c r="E7139" s="11"/>
      <c r="F7139" s="9"/>
    </row>
    <row r="7140" s="1" customFormat="1" customHeight="1" spans="1:6">
      <c r="A7140" s="9" t="str">
        <f>"10360523828"</f>
        <v>10360523828</v>
      </c>
      <c r="B7140" s="10">
        <v>42.23</v>
      </c>
      <c r="C7140" s="9"/>
      <c r="D7140" s="9">
        <f t="shared" si="111"/>
        <v>42.23</v>
      </c>
      <c r="E7140" s="11"/>
      <c r="F7140" s="9"/>
    </row>
    <row r="7141" s="1" customFormat="1" customHeight="1" spans="1:6">
      <c r="A7141" s="9" t="str">
        <f>"10530523829"</f>
        <v>10530523829</v>
      </c>
      <c r="B7141" s="10">
        <v>42.13</v>
      </c>
      <c r="C7141" s="9"/>
      <c r="D7141" s="9">
        <f t="shared" si="111"/>
        <v>42.13</v>
      </c>
      <c r="E7141" s="11"/>
      <c r="F7141" s="9"/>
    </row>
    <row r="7142" s="1" customFormat="1" customHeight="1" spans="1:6">
      <c r="A7142" s="9" t="str">
        <f>"10060523830"</f>
        <v>10060523830</v>
      </c>
      <c r="B7142" s="10">
        <v>37.97</v>
      </c>
      <c r="C7142" s="9"/>
      <c r="D7142" s="9">
        <f t="shared" si="111"/>
        <v>37.97</v>
      </c>
      <c r="E7142" s="11"/>
      <c r="F7142" s="9"/>
    </row>
    <row r="7143" s="1" customFormat="1" customHeight="1" spans="1:6">
      <c r="A7143" s="9" t="str">
        <f>"10530523901"</f>
        <v>10530523901</v>
      </c>
      <c r="B7143" s="10">
        <v>36.04</v>
      </c>
      <c r="C7143" s="9"/>
      <c r="D7143" s="9">
        <f t="shared" si="111"/>
        <v>36.04</v>
      </c>
      <c r="E7143" s="11"/>
      <c r="F7143" s="9"/>
    </row>
    <row r="7144" s="1" customFormat="1" customHeight="1" spans="1:6">
      <c r="A7144" s="9" t="str">
        <f>"10330523902"</f>
        <v>10330523902</v>
      </c>
      <c r="B7144" s="10">
        <v>39.41</v>
      </c>
      <c r="C7144" s="9"/>
      <c r="D7144" s="9">
        <f t="shared" si="111"/>
        <v>39.41</v>
      </c>
      <c r="E7144" s="11"/>
      <c r="F7144" s="9"/>
    </row>
    <row r="7145" s="1" customFormat="1" customHeight="1" spans="1:6">
      <c r="A7145" s="9" t="str">
        <f>"10020523903"</f>
        <v>10020523903</v>
      </c>
      <c r="B7145" s="10">
        <v>30.73</v>
      </c>
      <c r="C7145" s="9"/>
      <c r="D7145" s="9">
        <f t="shared" si="111"/>
        <v>30.73</v>
      </c>
      <c r="E7145" s="11"/>
      <c r="F7145" s="9"/>
    </row>
    <row r="7146" s="1" customFormat="1" customHeight="1" spans="1:6">
      <c r="A7146" s="9" t="str">
        <f>"10330523904"</f>
        <v>10330523904</v>
      </c>
      <c r="B7146" s="10">
        <v>0</v>
      </c>
      <c r="C7146" s="9"/>
      <c r="D7146" s="9">
        <f t="shared" si="111"/>
        <v>0</v>
      </c>
      <c r="E7146" s="11"/>
      <c r="F7146" s="9" t="s">
        <v>7</v>
      </c>
    </row>
    <row r="7147" s="1" customFormat="1" customHeight="1" spans="1:6">
      <c r="A7147" s="9" t="str">
        <f>"10530523905"</f>
        <v>10530523905</v>
      </c>
      <c r="B7147" s="10">
        <v>0</v>
      </c>
      <c r="C7147" s="9"/>
      <c r="D7147" s="9">
        <f t="shared" si="111"/>
        <v>0</v>
      </c>
      <c r="E7147" s="11"/>
      <c r="F7147" s="9" t="s">
        <v>7</v>
      </c>
    </row>
    <row r="7148" s="1" customFormat="1" customHeight="1" spans="1:6">
      <c r="A7148" s="9" t="str">
        <f>"10360523906"</f>
        <v>10360523906</v>
      </c>
      <c r="B7148" s="10">
        <v>36.05</v>
      </c>
      <c r="C7148" s="9"/>
      <c r="D7148" s="9">
        <f t="shared" si="111"/>
        <v>36.05</v>
      </c>
      <c r="E7148" s="11"/>
      <c r="F7148" s="9"/>
    </row>
    <row r="7149" s="1" customFormat="1" customHeight="1" spans="1:6">
      <c r="A7149" s="9" t="str">
        <f>"10100523907"</f>
        <v>10100523907</v>
      </c>
      <c r="B7149" s="10">
        <v>40.62</v>
      </c>
      <c r="C7149" s="9"/>
      <c r="D7149" s="9">
        <f t="shared" si="111"/>
        <v>40.62</v>
      </c>
      <c r="E7149" s="11"/>
      <c r="F7149" s="9"/>
    </row>
    <row r="7150" s="1" customFormat="1" customHeight="1" spans="1:6">
      <c r="A7150" s="9" t="str">
        <f>"10360523908"</f>
        <v>10360523908</v>
      </c>
      <c r="B7150" s="10">
        <v>34.98</v>
      </c>
      <c r="C7150" s="9"/>
      <c r="D7150" s="9">
        <f t="shared" si="111"/>
        <v>34.98</v>
      </c>
      <c r="E7150" s="11"/>
      <c r="F7150" s="9"/>
    </row>
    <row r="7151" s="1" customFormat="1" customHeight="1" spans="1:6">
      <c r="A7151" s="9" t="str">
        <f>"10140523909"</f>
        <v>10140523909</v>
      </c>
      <c r="B7151" s="10">
        <v>40.77</v>
      </c>
      <c r="C7151" s="9"/>
      <c r="D7151" s="9">
        <f t="shared" si="111"/>
        <v>40.77</v>
      </c>
      <c r="E7151" s="11"/>
      <c r="F7151" s="9"/>
    </row>
    <row r="7152" s="1" customFormat="1" customHeight="1" spans="1:6">
      <c r="A7152" s="9" t="str">
        <f>"10440523910"</f>
        <v>10440523910</v>
      </c>
      <c r="B7152" s="10">
        <v>0</v>
      </c>
      <c r="C7152" s="9"/>
      <c r="D7152" s="9">
        <f t="shared" si="111"/>
        <v>0</v>
      </c>
      <c r="E7152" s="11"/>
      <c r="F7152" s="9" t="s">
        <v>7</v>
      </c>
    </row>
    <row r="7153" s="1" customFormat="1" customHeight="1" spans="1:6">
      <c r="A7153" s="9" t="str">
        <f>"10360523911"</f>
        <v>10360523911</v>
      </c>
      <c r="B7153" s="10">
        <v>48.57</v>
      </c>
      <c r="C7153" s="9"/>
      <c r="D7153" s="9">
        <f t="shared" si="111"/>
        <v>48.57</v>
      </c>
      <c r="E7153" s="11"/>
      <c r="F7153" s="9"/>
    </row>
    <row r="7154" s="1" customFormat="1" customHeight="1" spans="1:6">
      <c r="A7154" s="9" t="str">
        <f>"10060523912"</f>
        <v>10060523912</v>
      </c>
      <c r="B7154" s="10">
        <v>0</v>
      </c>
      <c r="C7154" s="9"/>
      <c r="D7154" s="9">
        <f t="shared" si="111"/>
        <v>0</v>
      </c>
      <c r="E7154" s="11"/>
      <c r="F7154" s="9" t="s">
        <v>7</v>
      </c>
    </row>
    <row r="7155" s="1" customFormat="1" customHeight="1" spans="1:6">
      <c r="A7155" s="9" t="str">
        <f>"10510523913"</f>
        <v>10510523913</v>
      </c>
      <c r="B7155" s="10">
        <v>32.16</v>
      </c>
      <c r="C7155" s="9"/>
      <c r="D7155" s="9">
        <f t="shared" si="111"/>
        <v>32.16</v>
      </c>
      <c r="E7155" s="11"/>
      <c r="F7155" s="9"/>
    </row>
    <row r="7156" s="1" customFormat="1" customHeight="1" spans="1:6">
      <c r="A7156" s="9" t="str">
        <f>"10160523914"</f>
        <v>10160523914</v>
      </c>
      <c r="B7156" s="10">
        <v>48.34</v>
      </c>
      <c r="C7156" s="9"/>
      <c r="D7156" s="9">
        <f t="shared" si="111"/>
        <v>48.34</v>
      </c>
      <c r="E7156" s="11"/>
      <c r="F7156" s="9"/>
    </row>
    <row r="7157" s="1" customFormat="1" customHeight="1" spans="1:6">
      <c r="A7157" s="9" t="str">
        <f>"10450523915"</f>
        <v>10450523915</v>
      </c>
      <c r="B7157" s="10">
        <v>43.56</v>
      </c>
      <c r="C7157" s="9"/>
      <c r="D7157" s="9">
        <f t="shared" si="111"/>
        <v>43.56</v>
      </c>
      <c r="E7157" s="11"/>
      <c r="F7157" s="9"/>
    </row>
    <row r="7158" s="1" customFormat="1" customHeight="1" spans="1:6">
      <c r="A7158" s="9" t="str">
        <f>"10440523916"</f>
        <v>10440523916</v>
      </c>
      <c r="B7158" s="10">
        <v>45.54</v>
      </c>
      <c r="C7158" s="9"/>
      <c r="D7158" s="9">
        <f t="shared" si="111"/>
        <v>45.54</v>
      </c>
      <c r="E7158" s="11"/>
      <c r="F7158" s="9"/>
    </row>
    <row r="7159" s="1" customFormat="1" customHeight="1" spans="1:6">
      <c r="A7159" s="9" t="str">
        <f>"10500523917"</f>
        <v>10500523917</v>
      </c>
      <c r="B7159" s="10">
        <v>45.48</v>
      </c>
      <c r="C7159" s="9"/>
      <c r="D7159" s="9">
        <f t="shared" si="111"/>
        <v>45.48</v>
      </c>
      <c r="E7159" s="11"/>
      <c r="F7159" s="9"/>
    </row>
    <row r="7160" s="1" customFormat="1" customHeight="1" spans="1:6">
      <c r="A7160" s="9" t="str">
        <f>"10010523918"</f>
        <v>10010523918</v>
      </c>
      <c r="B7160" s="10">
        <v>33.89</v>
      </c>
      <c r="C7160" s="9"/>
      <c r="D7160" s="9">
        <f t="shared" si="111"/>
        <v>33.89</v>
      </c>
      <c r="E7160" s="11"/>
      <c r="F7160" s="9"/>
    </row>
    <row r="7161" s="1" customFormat="1" customHeight="1" spans="1:6">
      <c r="A7161" s="9" t="str">
        <f>"10170523919"</f>
        <v>10170523919</v>
      </c>
      <c r="B7161" s="10">
        <v>45.64</v>
      </c>
      <c r="C7161" s="9"/>
      <c r="D7161" s="9">
        <f t="shared" si="111"/>
        <v>45.64</v>
      </c>
      <c r="E7161" s="11"/>
      <c r="F7161" s="9"/>
    </row>
    <row r="7162" s="1" customFormat="1" customHeight="1" spans="1:6">
      <c r="A7162" s="9" t="str">
        <f>"10090523920"</f>
        <v>10090523920</v>
      </c>
      <c r="B7162" s="10">
        <v>35.41</v>
      </c>
      <c r="C7162" s="9"/>
      <c r="D7162" s="9">
        <f t="shared" si="111"/>
        <v>35.41</v>
      </c>
      <c r="E7162" s="11"/>
      <c r="F7162" s="9"/>
    </row>
    <row r="7163" s="1" customFormat="1" customHeight="1" spans="1:6">
      <c r="A7163" s="9" t="str">
        <f>"10360523921"</f>
        <v>10360523921</v>
      </c>
      <c r="B7163" s="10">
        <v>0</v>
      </c>
      <c r="C7163" s="9"/>
      <c r="D7163" s="9">
        <f t="shared" si="111"/>
        <v>0</v>
      </c>
      <c r="E7163" s="11"/>
      <c r="F7163" s="9" t="s">
        <v>7</v>
      </c>
    </row>
    <row r="7164" s="1" customFormat="1" customHeight="1" spans="1:6">
      <c r="A7164" s="9" t="str">
        <f>"10210523922"</f>
        <v>10210523922</v>
      </c>
      <c r="B7164" s="10">
        <v>41.81</v>
      </c>
      <c r="C7164" s="9"/>
      <c r="D7164" s="9">
        <f t="shared" si="111"/>
        <v>41.81</v>
      </c>
      <c r="E7164" s="11"/>
      <c r="F7164" s="9"/>
    </row>
    <row r="7165" s="1" customFormat="1" customHeight="1" spans="1:6">
      <c r="A7165" s="9" t="str">
        <f>"10020523923"</f>
        <v>10020523923</v>
      </c>
      <c r="B7165" s="10">
        <v>31.67</v>
      </c>
      <c r="C7165" s="9"/>
      <c r="D7165" s="9">
        <f t="shared" si="111"/>
        <v>31.67</v>
      </c>
      <c r="E7165" s="11"/>
      <c r="F7165" s="9"/>
    </row>
    <row r="7166" s="1" customFormat="1" customHeight="1" spans="1:6">
      <c r="A7166" s="9" t="str">
        <f>"10300523924"</f>
        <v>10300523924</v>
      </c>
      <c r="B7166" s="10">
        <v>43.97</v>
      </c>
      <c r="C7166" s="9"/>
      <c r="D7166" s="9">
        <f t="shared" si="111"/>
        <v>43.97</v>
      </c>
      <c r="E7166" s="11"/>
      <c r="F7166" s="9"/>
    </row>
    <row r="7167" s="1" customFormat="1" customHeight="1" spans="1:6">
      <c r="A7167" s="9" t="str">
        <f>"10530523925"</f>
        <v>10530523925</v>
      </c>
      <c r="B7167" s="10">
        <v>43.01</v>
      </c>
      <c r="C7167" s="9"/>
      <c r="D7167" s="9">
        <f t="shared" si="111"/>
        <v>43.01</v>
      </c>
      <c r="E7167" s="11"/>
      <c r="F7167" s="9"/>
    </row>
    <row r="7168" s="1" customFormat="1" customHeight="1" spans="1:6">
      <c r="A7168" s="9" t="str">
        <f>"10230523926"</f>
        <v>10230523926</v>
      </c>
      <c r="B7168" s="10">
        <v>0</v>
      </c>
      <c r="C7168" s="9"/>
      <c r="D7168" s="9">
        <f t="shared" si="111"/>
        <v>0</v>
      </c>
      <c r="E7168" s="11"/>
      <c r="F7168" s="9" t="s">
        <v>7</v>
      </c>
    </row>
    <row r="7169" s="1" customFormat="1" customHeight="1" spans="1:6">
      <c r="A7169" s="9" t="str">
        <f>"10440523927"</f>
        <v>10440523927</v>
      </c>
      <c r="B7169" s="10">
        <v>0</v>
      </c>
      <c r="C7169" s="9"/>
      <c r="D7169" s="9">
        <f t="shared" si="111"/>
        <v>0</v>
      </c>
      <c r="E7169" s="11"/>
      <c r="F7169" s="9" t="s">
        <v>7</v>
      </c>
    </row>
    <row r="7170" s="1" customFormat="1" customHeight="1" spans="1:6">
      <c r="A7170" s="9" t="str">
        <f>"10500523928"</f>
        <v>10500523928</v>
      </c>
      <c r="B7170" s="10">
        <v>54.02</v>
      </c>
      <c r="C7170" s="9"/>
      <c r="D7170" s="9">
        <f t="shared" si="111"/>
        <v>54.02</v>
      </c>
      <c r="E7170" s="11"/>
      <c r="F7170" s="9"/>
    </row>
    <row r="7171" s="1" customFormat="1" customHeight="1" spans="1:6">
      <c r="A7171" s="9" t="str">
        <f>"10090523929"</f>
        <v>10090523929</v>
      </c>
      <c r="B7171" s="10">
        <v>0</v>
      </c>
      <c r="C7171" s="9"/>
      <c r="D7171" s="9">
        <f t="shared" ref="D7171:D7234" si="112">SUM(B7171:C7171)</f>
        <v>0</v>
      </c>
      <c r="E7171" s="11"/>
      <c r="F7171" s="9" t="s">
        <v>7</v>
      </c>
    </row>
    <row r="7172" s="1" customFormat="1" customHeight="1" spans="1:6">
      <c r="A7172" s="9" t="str">
        <f>"10290523930"</f>
        <v>10290523930</v>
      </c>
      <c r="B7172" s="10">
        <v>43</v>
      </c>
      <c r="C7172" s="9"/>
      <c r="D7172" s="9">
        <f t="shared" si="112"/>
        <v>43</v>
      </c>
      <c r="E7172" s="11"/>
      <c r="F7172" s="9"/>
    </row>
    <row r="7173" s="1" customFormat="1" customHeight="1" spans="1:6">
      <c r="A7173" s="9" t="str">
        <f>"10530524001"</f>
        <v>10530524001</v>
      </c>
      <c r="B7173" s="10">
        <v>34.05</v>
      </c>
      <c r="C7173" s="9"/>
      <c r="D7173" s="9">
        <f t="shared" si="112"/>
        <v>34.05</v>
      </c>
      <c r="E7173" s="11"/>
      <c r="F7173" s="9"/>
    </row>
    <row r="7174" s="1" customFormat="1" customHeight="1" spans="1:6">
      <c r="A7174" s="9" t="str">
        <f>"10280524002"</f>
        <v>10280524002</v>
      </c>
      <c r="B7174" s="10">
        <v>0</v>
      </c>
      <c r="C7174" s="9"/>
      <c r="D7174" s="9">
        <f t="shared" si="112"/>
        <v>0</v>
      </c>
      <c r="E7174" s="11"/>
      <c r="F7174" s="9" t="s">
        <v>7</v>
      </c>
    </row>
    <row r="7175" s="1" customFormat="1" customHeight="1" spans="1:6">
      <c r="A7175" s="9" t="str">
        <f>"10440524003"</f>
        <v>10440524003</v>
      </c>
      <c r="B7175" s="10">
        <v>46.73</v>
      </c>
      <c r="C7175" s="9"/>
      <c r="D7175" s="9">
        <f t="shared" si="112"/>
        <v>46.73</v>
      </c>
      <c r="E7175" s="11"/>
      <c r="F7175" s="9"/>
    </row>
    <row r="7176" s="1" customFormat="1" customHeight="1" spans="1:6">
      <c r="A7176" s="9" t="str">
        <f>"10380524004"</f>
        <v>10380524004</v>
      </c>
      <c r="B7176" s="10">
        <v>40.1</v>
      </c>
      <c r="C7176" s="9"/>
      <c r="D7176" s="9">
        <f t="shared" si="112"/>
        <v>40.1</v>
      </c>
      <c r="E7176" s="11"/>
      <c r="F7176" s="9"/>
    </row>
    <row r="7177" s="1" customFormat="1" customHeight="1" spans="1:6">
      <c r="A7177" s="9" t="str">
        <f>"10080524005"</f>
        <v>10080524005</v>
      </c>
      <c r="B7177" s="10">
        <v>0</v>
      </c>
      <c r="C7177" s="9"/>
      <c r="D7177" s="9">
        <f t="shared" si="112"/>
        <v>0</v>
      </c>
      <c r="E7177" s="11"/>
      <c r="F7177" s="9" t="s">
        <v>7</v>
      </c>
    </row>
    <row r="7178" s="1" customFormat="1" customHeight="1" spans="1:6">
      <c r="A7178" s="9" t="str">
        <f>"10420524006"</f>
        <v>10420524006</v>
      </c>
      <c r="B7178" s="10">
        <v>54.12</v>
      </c>
      <c r="C7178" s="9"/>
      <c r="D7178" s="9">
        <f t="shared" si="112"/>
        <v>54.12</v>
      </c>
      <c r="E7178" s="11"/>
      <c r="F7178" s="9"/>
    </row>
    <row r="7179" s="1" customFormat="1" customHeight="1" spans="1:6">
      <c r="A7179" s="9" t="str">
        <f>"10460524007"</f>
        <v>10460524007</v>
      </c>
      <c r="B7179" s="10">
        <v>43.7</v>
      </c>
      <c r="C7179" s="9"/>
      <c r="D7179" s="9">
        <f t="shared" si="112"/>
        <v>43.7</v>
      </c>
      <c r="E7179" s="11"/>
      <c r="F7179" s="9"/>
    </row>
    <row r="7180" s="1" customFormat="1" customHeight="1" spans="1:6">
      <c r="A7180" s="9" t="str">
        <f>"10460524008"</f>
        <v>10460524008</v>
      </c>
      <c r="B7180" s="10">
        <v>45.58</v>
      </c>
      <c r="C7180" s="9"/>
      <c r="D7180" s="9">
        <f t="shared" si="112"/>
        <v>45.58</v>
      </c>
      <c r="E7180" s="11"/>
      <c r="F7180" s="9"/>
    </row>
    <row r="7181" s="1" customFormat="1" customHeight="1" spans="1:6">
      <c r="A7181" s="9" t="str">
        <f>"10140524009"</f>
        <v>10140524009</v>
      </c>
      <c r="B7181" s="10">
        <v>0</v>
      </c>
      <c r="C7181" s="9"/>
      <c r="D7181" s="9">
        <f t="shared" si="112"/>
        <v>0</v>
      </c>
      <c r="E7181" s="11"/>
      <c r="F7181" s="9" t="s">
        <v>7</v>
      </c>
    </row>
    <row r="7182" s="1" customFormat="1" customHeight="1" spans="1:6">
      <c r="A7182" s="9" t="str">
        <f>"10530524010"</f>
        <v>10530524010</v>
      </c>
      <c r="B7182" s="10">
        <v>36.1</v>
      </c>
      <c r="C7182" s="9"/>
      <c r="D7182" s="9">
        <f t="shared" si="112"/>
        <v>36.1</v>
      </c>
      <c r="E7182" s="11"/>
      <c r="F7182" s="9"/>
    </row>
    <row r="7183" s="1" customFormat="1" customHeight="1" spans="1:6">
      <c r="A7183" s="9" t="str">
        <f>"10530524011"</f>
        <v>10530524011</v>
      </c>
      <c r="B7183" s="10">
        <v>31.4</v>
      </c>
      <c r="C7183" s="9"/>
      <c r="D7183" s="9">
        <f t="shared" si="112"/>
        <v>31.4</v>
      </c>
      <c r="E7183" s="11"/>
      <c r="F7183" s="9"/>
    </row>
    <row r="7184" s="1" customFormat="1" customHeight="1" spans="1:6">
      <c r="A7184" s="9" t="str">
        <f>"10360524012"</f>
        <v>10360524012</v>
      </c>
      <c r="B7184" s="10">
        <v>44.45</v>
      </c>
      <c r="C7184" s="9"/>
      <c r="D7184" s="9">
        <f t="shared" si="112"/>
        <v>44.45</v>
      </c>
      <c r="E7184" s="11"/>
      <c r="F7184" s="9"/>
    </row>
    <row r="7185" s="1" customFormat="1" customHeight="1" spans="1:6">
      <c r="A7185" s="9" t="str">
        <f>"10130524013"</f>
        <v>10130524013</v>
      </c>
      <c r="B7185" s="10">
        <v>32.72</v>
      </c>
      <c r="C7185" s="9"/>
      <c r="D7185" s="9">
        <f t="shared" si="112"/>
        <v>32.72</v>
      </c>
      <c r="E7185" s="11"/>
      <c r="F7185" s="9"/>
    </row>
    <row r="7186" s="1" customFormat="1" customHeight="1" spans="1:6">
      <c r="A7186" s="9" t="str">
        <f>"10100524014"</f>
        <v>10100524014</v>
      </c>
      <c r="B7186" s="10">
        <v>36.54</v>
      </c>
      <c r="C7186" s="9"/>
      <c r="D7186" s="9">
        <f t="shared" si="112"/>
        <v>36.54</v>
      </c>
      <c r="E7186" s="11"/>
      <c r="F7186" s="9"/>
    </row>
    <row r="7187" s="1" customFormat="1" customHeight="1" spans="1:6">
      <c r="A7187" s="9" t="str">
        <f>"10010524015"</f>
        <v>10010524015</v>
      </c>
      <c r="B7187" s="10">
        <v>44.22</v>
      </c>
      <c r="C7187" s="9"/>
      <c r="D7187" s="9">
        <f t="shared" si="112"/>
        <v>44.22</v>
      </c>
      <c r="E7187" s="11"/>
      <c r="F7187" s="9"/>
    </row>
    <row r="7188" s="1" customFormat="1" customHeight="1" spans="1:6">
      <c r="A7188" s="9" t="str">
        <f>"10360524016"</f>
        <v>10360524016</v>
      </c>
      <c r="B7188" s="10">
        <v>37.84</v>
      </c>
      <c r="C7188" s="9"/>
      <c r="D7188" s="9">
        <f t="shared" si="112"/>
        <v>37.84</v>
      </c>
      <c r="E7188" s="11"/>
      <c r="F7188" s="9"/>
    </row>
    <row r="7189" s="1" customFormat="1" customHeight="1" spans="1:6">
      <c r="A7189" s="9" t="str">
        <f>"10240524017"</f>
        <v>10240524017</v>
      </c>
      <c r="B7189" s="10">
        <v>40.85</v>
      </c>
      <c r="C7189" s="9"/>
      <c r="D7189" s="9">
        <f t="shared" si="112"/>
        <v>40.85</v>
      </c>
      <c r="E7189" s="11"/>
      <c r="F7189" s="9"/>
    </row>
    <row r="7190" s="1" customFormat="1" customHeight="1" spans="1:6">
      <c r="A7190" s="9" t="str">
        <f>"10530524018"</f>
        <v>10530524018</v>
      </c>
      <c r="B7190" s="10">
        <v>0</v>
      </c>
      <c r="C7190" s="9"/>
      <c r="D7190" s="9">
        <f t="shared" si="112"/>
        <v>0</v>
      </c>
      <c r="E7190" s="11"/>
      <c r="F7190" s="9" t="s">
        <v>7</v>
      </c>
    </row>
    <row r="7191" s="1" customFormat="1" customHeight="1" spans="1:6">
      <c r="A7191" s="9" t="str">
        <f>"10410524019"</f>
        <v>10410524019</v>
      </c>
      <c r="B7191" s="10">
        <v>40.34</v>
      </c>
      <c r="C7191" s="9"/>
      <c r="D7191" s="9">
        <f t="shared" si="112"/>
        <v>40.34</v>
      </c>
      <c r="E7191" s="11"/>
      <c r="F7191" s="9"/>
    </row>
    <row r="7192" s="1" customFormat="1" customHeight="1" spans="1:6">
      <c r="A7192" s="9" t="str">
        <f>"10300524020"</f>
        <v>10300524020</v>
      </c>
      <c r="B7192" s="10">
        <v>47.43</v>
      </c>
      <c r="C7192" s="9"/>
      <c r="D7192" s="9">
        <f t="shared" si="112"/>
        <v>47.43</v>
      </c>
      <c r="E7192" s="11"/>
      <c r="F7192" s="9"/>
    </row>
    <row r="7193" s="1" customFormat="1" customHeight="1" spans="1:6">
      <c r="A7193" s="9" t="str">
        <f>"10360524021"</f>
        <v>10360524021</v>
      </c>
      <c r="B7193" s="10">
        <v>40.15</v>
      </c>
      <c r="C7193" s="9"/>
      <c r="D7193" s="9">
        <f t="shared" si="112"/>
        <v>40.15</v>
      </c>
      <c r="E7193" s="11"/>
      <c r="F7193" s="9"/>
    </row>
    <row r="7194" s="1" customFormat="1" customHeight="1" spans="1:6">
      <c r="A7194" s="9" t="str">
        <f>"10040524022"</f>
        <v>10040524022</v>
      </c>
      <c r="B7194" s="10">
        <v>0</v>
      </c>
      <c r="C7194" s="9"/>
      <c r="D7194" s="9">
        <f t="shared" si="112"/>
        <v>0</v>
      </c>
      <c r="E7194" s="11"/>
      <c r="F7194" s="9" t="s">
        <v>7</v>
      </c>
    </row>
    <row r="7195" s="1" customFormat="1" customHeight="1" spans="1:6">
      <c r="A7195" s="9" t="str">
        <f>"10510524023"</f>
        <v>10510524023</v>
      </c>
      <c r="B7195" s="10">
        <v>46.17</v>
      </c>
      <c r="C7195" s="9"/>
      <c r="D7195" s="9">
        <f t="shared" si="112"/>
        <v>46.17</v>
      </c>
      <c r="E7195" s="11"/>
      <c r="F7195" s="9"/>
    </row>
    <row r="7196" s="1" customFormat="1" customHeight="1" spans="1:6">
      <c r="A7196" s="9" t="str">
        <f>"10500524024"</f>
        <v>10500524024</v>
      </c>
      <c r="B7196" s="10">
        <v>0</v>
      </c>
      <c r="C7196" s="9"/>
      <c r="D7196" s="9">
        <f t="shared" si="112"/>
        <v>0</v>
      </c>
      <c r="E7196" s="11"/>
      <c r="F7196" s="9" t="s">
        <v>7</v>
      </c>
    </row>
    <row r="7197" s="1" customFormat="1" customHeight="1" spans="1:6">
      <c r="A7197" s="9" t="str">
        <f>"10360524025"</f>
        <v>10360524025</v>
      </c>
      <c r="B7197" s="10">
        <v>43.21</v>
      </c>
      <c r="C7197" s="9"/>
      <c r="D7197" s="9">
        <f t="shared" si="112"/>
        <v>43.21</v>
      </c>
      <c r="E7197" s="11"/>
      <c r="F7197" s="9"/>
    </row>
    <row r="7198" s="1" customFormat="1" customHeight="1" spans="1:6">
      <c r="A7198" s="9" t="str">
        <f>"10130524026"</f>
        <v>10130524026</v>
      </c>
      <c r="B7198" s="10">
        <v>0</v>
      </c>
      <c r="C7198" s="9"/>
      <c r="D7198" s="9">
        <f t="shared" si="112"/>
        <v>0</v>
      </c>
      <c r="E7198" s="11"/>
      <c r="F7198" s="9" t="s">
        <v>7</v>
      </c>
    </row>
    <row r="7199" s="1" customFormat="1" customHeight="1" spans="1:6">
      <c r="A7199" s="9" t="str">
        <f>"10440524027"</f>
        <v>10440524027</v>
      </c>
      <c r="B7199" s="10">
        <v>0</v>
      </c>
      <c r="C7199" s="9"/>
      <c r="D7199" s="9">
        <f t="shared" si="112"/>
        <v>0</v>
      </c>
      <c r="E7199" s="11"/>
      <c r="F7199" s="9" t="s">
        <v>7</v>
      </c>
    </row>
    <row r="7200" s="1" customFormat="1" customHeight="1" spans="1:6">
      <c r="A7200" s="9" t="str">
        <f>"10110524028"</f>
        <v>10110524028</v>
      </c>
      <c r="B7200" s="10">
        <v>0</v>
      </c>
      <c r="C7200" s="9"/>
      <c r="D7200" s="9">
        <f t="shared" si="112"/>
        <v>0</v>
      </c>
      <c r="E7200" s="11"/>
      <c r="F7200" s="9" t="s">
        <v>7</v>
      </c>
    </row>
    <row r="7201" s="1" customFormat="1" customHeight="1" spans="1:6">
      <c r="A7201" s="9" t="str">
        <f>"10390524029"</f>
        <v>10390524029</v>
      </c>
      <c r="B7201" s="10">
        <v>37.66</v>
      </c>
      <c r="C7201" s="9"/>
      <c r="D7201" s="9">
        <f t="shared" si="112"/>
        <v>37.66</v>
      </c>
      <c r="E7201" s="11"/>
      <c r="F7201" s="9"/>
    </row>
    <row r="7202" s="1" customFormat="1" customHeight="1" spans="1:6">
      <c r="A7202" s="9" t="str">
        <f>"10360524030"</f>
        <v>10360524030</v>
      </c>
      <c r="B7202" s="10">
        <v>37.23</v>
      </c>
      <c r="C7202" s="9"/>
      <c r="D7202" s="9">
        <f t="shared" si="112"/>
        <v>37.23</v>
      </c>
      <c r="E7202" s="11"/>
      <c r="F7202" s="9"/>
    </row>
    <row r="7203" s="1" customFormat="1" customHeight="1" spans="1:6">
      <c r="A7203" s="9" t="str">
        <f>"10390524101"</f>
        <v>10390524101</v>
      </c>
      <c r="B7203" s="10">
        <v>34.11</v>
      </c>
      <c r="C7203" s="9"/>
      <c r="D7203" s="9">
        <f t="shared" si="112"/>
        <v>34.11</v>
      </c>
      <c r="E7203" s="11"/>
      <c r="F7203" s="9"/>
    </row>
    <row r="7204" s="1" customFormat="1" customHeight="1" spans="1:6">
      <c r="A7204" s="9" t="str">
        <f>"10290524102"</f>
        <v>10290524102</v>
      </c>
      <c r="B7204" s="10">
        <v>0</v>
      </c>
      <c r="C7204" s="9"/>
      <c r="D7204" s="9">
        <f t="shared" si="112"/>
        <v>0</v>
      </c>
      <c r="E7204" s="11"/>
      <c r="F7204" s="9" t="s">
        <v>7</v>
      </c>
    </row>
    <row r="7205" s="1" customFormat="1" customHeight="1" spans="1:6">
      <c r="A7205" s="9" t="str">
        <f>"10210524103"</f>
        <v>10210524103</v>
      </c>
      <c r="B7205" s="10">
        <v>0</v>
      </c>
      <c r="C7205" s="9"/>
      <c r="D7205" s="9">
        <f t="shared" si="112"/>
        <v>0</v>
      </c>
      <c r="E7205" s="11"/>
      <c r="F7205" s="9" t="s">
        <v>7</v>
      </c>
    </row>
    <row r="7206" s="1" customFormat="1" customHeight="1" spans="1:6">
      <c r="A7206" s="9" t="str">
        <f>"10360524104"</f>
        <v>10360524104</v>
      </c>
      <c r="B7206" s="10">
        <v>41.9</v>
      </c>
      <c r="C7206" s="9"/>
      <c r="D7206" s="9">
        <f t="shared" si="112"/>
        <v>41.9</v>
      </c>
      <c r="E7206" s="11"/>
      <c r="F7206" s="9"/>
    </row>
    <row r="7207" s="1" customFormat="1" customHeight="1" spans="1:6">
      <c r="A7207" s="9" t="str">
        <f>"10360524105"</f>
        <v>10360524105</v>
      </c>
      <c r="B7207" s="10">
        <v>37.07</v>
      </c>
      <c r="C7207" s="9"/>
      <c r="D7207" s="9">
        <f t="shared" si="112"/>
        <v>37.07</v>
      </c>
      <c r="E7207" s="11"/>
      <c r="F7207" s="9"/>
    </row>
    <row r="7208" s="1" customFormat="1" customHeight="1" spans="1:6">
      <c r="A7208" s="9" t="str">
        <f>"10360524106"</f>
        <v>10360524106</v>
      </c>
      <c r="B7208" s="10">
        <v>40.62</v>
      </c>
      <c r="C7208" s="9"/>
      <c r="D7208" s="9">
        <f t="shared" si="112"/>
        <v>40.62</v>
      </c>
      <c r="E7208" s="11"/>
      <c r="F7208" s="9"/>
    </row>
    <row r="7209" s="1" customFormat="1" customHeight="1" spans="1:6">
      <c r="A7209" s="9" t="str">
        <f>"10380524107"</f>
        <v>10380524107</v>
      </c>
      <c r="B7209" s="10">
        <v>42.76</v>
      </c>
      <c r="C7209" s="9"/>
      <c r="D7209" s="9">
        <f t="shared" si="112"/>
        <v>42.76</v>
      </c>
      <c r="E7209" s="11"/>
      <c r="F7209" s="9"/>
    </row>
    <row r="7210" s="1" customFormat="1" customHeight="1" spans="1:6">
      <c r="A7210" s="9" t="str">
        <f>"10510524108"</f>
        <v>10510524108</v>
      </c>
      <c r="B7210" s="10">
        <v>30.15</v>
      </c>
      <c r="C7210" s="9"/>
      <c r="D7210" s="9">
        <f t="shared" si="112"/>
        <v>30.15</v>
      </c>
      <c r="E7210" s="11"/>
      <c r="F7210" s="9"/>
    </row>
    <row r="7211" s="1" customFormat="1" customHeight="1" spans="1:6">
      <c r="A7211" s="9" t="str">
        <f>"10440524109"</f>
        <v>10440524109</v>
      </c>
      <c r="B7211" s="10">
        <v>0</v>
      </c>
      <c r="C7211" s="9"/>
      <c r="D7211" s="9">
        <f t="shared" si="112"/>
        <v>0</v>
      </c>
      <c r="E7211" s="11"/>
      <c r="F7211" s="9" t="s">
        <v>7</v>
      </c>
    </row>
    <row r="7212" s="1" customFormat="1" customHeight="1" spans="1:6">
      <c r="A7212" s="9" t="str">
        <f>"10070524110"</f>
        <v>10070524110</v>
      </c>
      <c r="B7212" s="10">
        <v>40.29</v>
      </c>
      <c r="C7212" s="9"/>
      <c r="D7212" s="9">
        <f t="shared" si="112"/>
        <v>40.29</v>
      </c>
      <c r="E7212" s="11"/>
      <c r="F7212" s="9"/>
    </row>
    <row r="7213" s="1" customFormat="1" customHeight="1" spans="1:6">
      <c r="A7213" s="9" t="str">
        <f>"10060524111"</f>
        <v>10060524111</v>
      </c>
      <c r="B7213" s="10">
        <v>0</v>
      </c>
      <c r="C7213" s="9"/>
      <c r="D7213" s="9">
        <f t="shared" si="112"/>
        <v>0</v>
      </c>
      <c r="E7213" s="11"/>
      <c r="F7213" s="9" t="s">
        <v>7</v>
      </c>
    </row>
    <row r="7214" s="1" customFormat="1" customHeight="1" spans="1:6">
      <c r="A7214" s="9" t="str">
        <f>"10440524112"</f>
        <v>10440524112</v>
      </c>
      <c r="B7214" s="10">
        <v>0</v>
      </c>
      <c r="C7214" s="9"/>
      <c r="D7214" s="9">
        <f t="shared" si="112"/>
        <v>0</v>
      </c>
      <c r="E7214" s="11"/>
      <c r="F7214" s="9" t="s">
        <v>7</v>
      </c>
    </row>
    <row r="7215" s="1" customFormat="1" customHeight="1" spans="1:6">
      <c r="A7215" s="9" t="str">
        <f>"10070524113"</f>
        <v>10070524113</v>
      </c>
      <c r="B7215" s="10">
        <v>47.18</v>
      </c>
      <c r="C7215" s="9"/>
      <c r="D7215" s="9">
        <f t="shared" si="112"/>
        <v>47.18</v>
      </c>
      <c r="E7215" s="11"/>
      <c r="F7215" s="9"/>
    </row>
    <row r="7216" s="1" customFormat="1" customHeight="1" spans="1:6">
      <c r="A7216" s="9" t="str">
        <f>"10360524114"</f>
        <v>10360524114</v>
      </c>
      <c r="B7216" s="10">
        <v>0</v>
      </c>
      <c r="C7216" s="9"/>
      <c r="D7216" s="9">
        <f t="shared" si="112"/>
        <v>0</v>
      </c>
      <c r="E7216" s="11"/>
      <c r="F7216" s="9" t="s">
        <v>7</v>
      </c>
    </row>
    <row r="7217" s="1" customFormat="1" customHeight="1" spans="1:6">
      <c r="A7217" s="9" t="str">
        <f>"10140524115"</f>
        <v>10140524115</v>
      </c>
      <c r="B7217" s="10">
        <v>42.37</v>
      </c>
      <c r="C7217" s="9"/>
      <c r="D7217" s="9">
        <f t="shared" si="112"/>
        <v>42.37</v>
      </c>
      <c r="E7217" s="11"/>
      <c r="F7217" s="9"/>
    </row>
    <row r="7218" s="1" customFormat="1" customHeight="1" spans="1:6">
      <c r="A7218" s="9" t="str">
        <f>"10300524116"</f>
        <v>10300524116</v>
      </c>
      <c r="B7218" s="10">
        <v>35.63</v>
      </c>
      <c r="C7218" s="9"/>
      <c r="D7218" s="9">
        <f t="shared" si="112"/>
        <v>35.63</v>
      </c>
      <c r="E7218" s="11"/>
      <c r="F7218" s="9"/>
    </row>
    <row r="7219" s="1" customFormat="1" customHeight="1" spans="1:6">
      <c r="A7219" s="9" t="str">
        <f>"10330524117"</f>
        <v>10330524117</v>
      </c>
      <c r="B7219" s="10">
        <v>33.44</v>
      </c>
      <c r="C7219" s="9"/>
      <c r="D7219" s="9">
        <f t="shared" si="112"/>
        <v>33.44</v>
      </c>
      <c r="E7219" s="11"/>
      <c r="F7219" s="9"/>
    </row>
    <row r="7220" s="1" customFormat="1" customHeight="1" spans="1:6">
      <c r="A7220" s="9" t="str">
        <f>"10510524118"</f>
        <v>10510524118</v>
      </c>
      <c r="B7220" s="10">
        <v>45.4</v>
      </c>
      <c r="C7220" s="9"/>
      <c r="D7220" s="9">
        <f t="shared" si="112"/>
        <v>45.4</v>
      </c>
      <c r="E7220" s="11"/>
      <c r="F7220" s="9"/>
    </row>
    <row r="7221" s="1" customFormat="1" customHeight="1" spans="1:6">
      <c r="A7221" s="9" t="str">
        <f>"10360524119"</f>
        <v>10360524119</v>
      </c>
      <c r="B7221" s="10">
        <v>0</v>
      </c>
      <c r="C7221" s="9"/>
      <c r="D7221" s="9">
        <f t="shared" si="112"/>
        <v>0</v>
      </c>
      <c r="E7221" s="11"/>
      <c r="F7221" s="9" t="s">
        <v>7</v>
      </c>
    </row>
    <row r="7222" s="1" customFormat="1" customHeight="1" spans="1:6">
      <c r="A7222" s="9" t="str">
        <f>"10360524120"</f>
        <v>10360524120</v>
      </c>
      <c r="B7222" s="10">
        <v>0</v>
      </c>
      <c r="C7222" s="9"/>
      <c r="D7222" s="9">
        <f t="shared" si="112"/>
        <v>0</v>
      </c>
      <c r="E7222" s="11"/>
      <c r="F7222" s="9" t="s">
        <v>7</v>
      </c>
    </row>
    <row r="7223" s="1" customFormat="1" customHeight="1" spans="1:6">
      <c r="A7223" s="9" t="str">
        <f>"10130524121"</f>
        <v>10130524121</v>
      </c>
      <c r="B7223" s="10">
        <v>49.01</v>
      </c>
      <c r="C7223" s="9"/>
      <c r="D7223" s="9">
        <f t="shared" si="112"/>
        <v>49.01</v>
      </c>
      <c r="E7223" s="11"/>
      <c r="F7223" s="9"/>
    </row>
    <row r="7224" s="1" customFormat="1" customHeight="1" spans="1:6">
      <c r="A7224" s="9" t="str">
        <f>"10110524122"</f>
        <v>10110524122</v>
      </c>
      <c r="B7224" s="10">
        <v>0</v>
      </c>
      <c r="C7224" s="9"/>
      <c r="D7224" s="9">
        <f t="shared" si="112"/>
        <v>0</v>
      </c>
      <c r="E7224" s="11"/>
      <c r="F7224" s="9" t="s">
        <v>7</v>
      </c>
    </row>
    <row r="7225" s="1" customFormat="1" customHeight="1" spans="1:6">
      <c r="A7225" s="9" t="str">
        <f>"10060524123"</f>
        <v>10060524123</v>
      </c>
      <c r="B7225" s="10">
        <v>0</v>
      </c>
      <c r="C7225" s="9"/>
      <c r="D7225" s="9">
        <f t="shared" si="112"/>
        <v>0</v>
      </c>
      <c r="E7225" s="11"/>
      <c r="F7225" s="9" t="s">
        <v>7</v>
      </c>
    </row>
    <row r="7226" s="1" customFormat="1" customHeight="1" spans="1:6">
      <c r="A7226" s="9" t="str">
        <f>"10080524124"</f>
        <v>10080524124</v>
      </c>
      <c r="B7226" s="10">
        <v>42.05</v>
      </c>
      <c r="C7226" s="9"/>
      <c r="D7226" s="9">
        <f t="shared" si="112"/>
        <v>42.05</v>
      </c>
      <c r="E7226" s="11"/>
      <c r="F7226" s="9"/>
    </row>
    <row r="7227" s="1" customFormat="1" customHeight="1" spans="1:6">
      <c r="A7227" s="9" t="str">
        <f>"10240524125"</f>
        <v>10240524125</v>
      </c>
      <c r="B7227" s="10">
        <v>50.32</v>
      </c>
      <c r="C7227" s="9"/>
      <c r="D7227" s="9">
        <f t="shared" si="112"/>
        <v>50.32</v>
      </c>
      <c r="E7227" s="11"/>
      <c r="F7227" s="9"/>
    </row>
    <row r="7228" s="1" customFormat="1" customHeight="1" spans="1:6">
      <c r="A7228" s="9" t="str">
        <f>"10380524126"</f>
        <v>10380524126</v>
      </c>
      <c r="B7228" s="10">
        <v>36.96</v>
      </c>
      <c r="C7228" s="9"/>
      <c r="D7228" s="9">
        <f t="shared" si="112"/>
        <v>36.96</v>
      </c>
      <c r="E7228" s="11"/>
      <c r="F7228" s="9"/>
    </row>
    <row r="7229" s="1" customFormat="1" customHeight="1" spans="1:6">
      <c r="A7229" s="9" t="str">
        <f>"10360524127"</f>
        <v>10360524127</v>
      </c>
      <c r="B7229" s="10">
        <v>54.22</v>
      </c>
      <c r="C7229" s="9"/>
      <c r="D7229" s="9">
        <f t="shared" si="112"/>
        <v>54.22</v>
      </c>
      <c r="E7229" s="11"/>
      <c r="F7229" s="9"/>
    </row>
    <row r="7230" s="1" customFormat="1" customHeight="1" spans="1:6">
      <c r="A7230" s="9" t="str">
        <f>"10300524128"</f>
        <v>10300524128</v>
      </c>
      <c r="B7230" s="10">
        <v>34.02</v>
      </c>
      <c r="C7230" s="9"/>
      <c r="D7230" s="9">
        <f t="shared" si="112"/>
        <v>34.02</v>
      </c>
      <c r="E7230" s="11"/>
      <c r="F7230" s="9"/>
    </row>
    <row r="7231" s="1" customFormat="1" customHeight="1" spans="1:6">
      <c r="A7231" s="9" t="str">
        <f>"10360524129"</f>
        <v>10360524129</v>
      </c>
      <c r="B7231" s="10">
        <v>0</v>
      </c>
      <c r="C7231" s="9"/>
      <c r="D7231" s="9">
        <f t="shared" si="112"/>
        <v>0</v>
      </c>
      <c r="E7231" s="11"/>
      <c r="F7231" s="9" t="s">
        <v>7</v>
      </c>
    </row>
    <row r="7232" s="1" customFormat="1" customHeight="1" spans="1:6">
      <c r="A7232" s="9" t="str">
        <f>"10080524130"</f>
        <v>10080524130</v>
      </c>
      <c r="B7232" s="10">
        <v>0</v>
      </c>
      <c r="C7232" s="9"/>
      <c r="D7232" s="9">
        <f t="shared" si="112"/>
        <v>0</v>
      </c>
      <c r="E7232" s="11"/>
      <c r="F7232" s="9" t="s">
        <v>7</v>
      </c>
    </row>
    <row r="7233" s="1" customFormat="1" customHeight="1" spans="1:6">
      <c r="A7233" s="9" t="str">
        <f>"10170524201"</f>
        <v>10170524201</v>
      </c>
      <c r="B7233" s="10">
        <v>52.79</v>
      </c>
      <c r="C7233" s="9"/>
      <c r="D7233" s="9">
        <f t="shared" si="112"/>
        <v>52.79</v>
      </c>
      <c r="E7233" s="11"/>
      <c r="F7233" s="9"/>
    </row>
    <row r="7234" s="1" customFormat="1" customHeight="1" spans="1:6">
      <c r="A7234" s="9" t="str">
        <f>"10510524202"</f>
        <v>10510524202</v>
      </c>
      <c r="B7234" s="10">
        <v>38.9</v>
      </c>
      <c r="C7234" s="9"/>
      <c r="D7234" s="9">
        <f t="shared" si="112"/>
        <v>38.9</v>
      </c>
      <c r="E7234" s="11"/>
      <c r="F7234" s="9"/>
    </row>
    <row r="7235" s="1" customFormat="1" customHeight="1" spans="1:6">
      <c r="A7235" s="9" t="str">
        <f>"10520524203"</f>
        <v>10520524203</v>
      </c>
      <c r="B7235" s="10">
        <v>39.96</v>
      </c>
      <c r="C7235" s="9"/>
      <c r="D7235" s="9">
        <f t="shared" ref="D7235:D7298" si="113">SUM(B7235:C7235)</f>
        <v>39.96</v>
      </c>
      <c r="E7235" s="11"/>
      <c r="F7235" s="9"/>
    </row>
    <row r="7236" s="1" customFormat="1" customHeight="1" spans="1:6">
      <c r="A7236" s="9" t="str">
        <f>"10110524204"</f>
        <v>10110524204</v>
      </c>
      <c r="B7236" s="10">
        <v>40.09</v>
      </c>
      <c r="C7236" s="9"/>
      <c r="D7236" s="9">
        <f t="shared" si="113"/>
        <v>40.09</v>
      </c>
      <c r="E7236" s="11"/>
      <c r="F7236" s="9"/>
    </row>
    <row r="7237" s="1" customFormat="1" customHeight="1" spans="1:6">
      <c r="A7237" s="9" t="str">
        <f>"10440524205"</f>
        <v>10440524205</v>
      </c>
      <c r="B7237" s="10">
        <v>47.18</v>
      </c>
      <c r="C7237" s="9"/>
      <c r="D7237" s="9">
        <f t="shared" si="113"/>
        <v>47.18</v>
      </c>
      <c r="E7237" s="11"/>
      <c r="F7237" s="9"/>
    </row>
    <row r="7238" s="1" customFormat="1" customHeight="1" spans="1:6">
      <c r="A7238" s="9" t="str">
        <f>"10360524206"</f>
        <v>10360524206</v>
      </c>
      <c r="B7238" s="10">
        <v>26.62</v>
      </c>
      <c r="C7238" s="9"/>
      <c r="D7238" s="9">
        <f t="shared" si="113"/>
        <v>26.62</v>
      </c>
      <c r="E7238" s="11"/>
      <c r="F7238" s="9"/>
    </row>
    <row r="7239" s="1" customFormat="1" customHeight="1" spans="1:6">
      <c r="A7239" s="9" t="str">
        <f>"10420524207"</f>
        <v>10420524207</v>
      </c>
      <c r="B7239" s="10">
        <v>42.45</v>
      </c>
      <c r="C7239" s="9"/>
      <c r="D7239" s="9">
        <f t="shared" si="113"/>
        <v>42.45</v>
      </c>
      <c r="E7239" s="11"/>
      <c r="F7239" s="9"/>
    </row>
    <row r="7240" s="1" customFormat="1" customHeight="1" spans="1:6">
      <c r="A7240" s="9" t="str">
        <f>"10150524208"</f>
        <v>10150524208</v>
      </c>
      <c r="B7240" s="10">
        <v>37.77</v>
      </c>
      <c r="C7240" s="9"/>
      <c r="D7240" s="9">
        <f t="shared" si="113"/>
        <v>37.77</v>
      </c>
      <c r="E7240" s="11"/>
      <c r="F7240" s="9"/>
    </row>
    <row r="7241" s="1" customFormat="1" customHeight="1" spans="1:6">
      <c r="A7241" s="9" t="str">
        <f>"10300524209"</f>
        <v>10300524209</v>
      </c>
      <c r="B7241" s="10">
        <v>44.82</v>
      </c>
      <c r="C7241" s="9"/>
      <c r="D7241" s="9">
        <f t="shared" si="113"/>
        <v>44.82</v>
      </c>
      <c r="E7241" s="11"/>
      <c r="F7241" s="9"/>
    </row>
    <row r="7242" s="1" customFormat="1" customHeight="1" spans="1:6">
      <c r="A7242" s="9" t="str">
        <f>"10440524210"</f>
        <v>10440524210</v>
      </c>
      <c r="B7242" s="10">
        <v>0</v>
      </c>
      <c r="C7242" s="9"/>
      <c r="D7242" s="9">
        <f t="shared" si="113"/>
        <v>0</v>
      </c>
      <c r="E7242" s="11"/>
      <c r="F7242" s="9" t="s">
        <v>7</v>
      </c>
    </row>
    <row r="7243" s="1" customFormat="1" customHeight="1" spans="1:6">
      <c r="A7243" s="9" t="str">
        <f>"10130524211"</f>
        <v>10130524211</v>
      </c>
      <c r="B7243" s="10">
        <v>47.88</v>
      </c>
      <c r="C7243" s="9"/>
      <c r="D7243" s="9">
        <f t="shared" si="113"/>
        <v>47.88</v>
      </c>
      <c r="E7243" s="11"/>
      <c r="F7243" s="9"/>
    </row>
    <row r="7244" s="1" customFormat="1" customHeight="1" spans="1:6">
      <c r="A7244" s="9" t="str">
        <f>"10120524212"</f>
        <v>10120524212</v>
      </c>
      <c r="B7244" s="10">
        <v>36.31</v>
      </c>
      <c r="C7244" s="9"/>
      <c r="D7244" s="9">
        <f t="shared" si="113"/>
        <v>36.31</v>
      </c>
      <c r="E7244" s="11"/>
      <c r="F7244" s="9"/>
    </row>
    <row r="7245" s="1" customFormat="1" customHeight="1" spans="1:6">
      <c r="A7245" s="9" t="str">
        <f>"10130524213"</f>
        <v>10130524213</v>
      </c>
      <c r="B7245" s="10">
        <v>0</v>
      </c>
      <c r="C7245" s="9"/>
      <c r="D7245" s="9">
        <f t="shared" si="113"/>
        <v>0</v>
      </c>
      <c r="E7245" s="11"/>
      <c r="F7245" s="9" t="s">
        <v>7</v>
      </c>
    </row>
    <row r="7246" s="1" customFormat="1" customHeight="1" spans="1:6">
      <c r="A7246" s="9" t="str">
        <f>"10240524214"</f>
        <v>10240524214</v>
      </c>
      <c r="B7246" s="10">
        <v>50.57</v>
      </c>
      <c r="C7246" s="9"/>
      <c r="D7246" s="9">
        <f t="shared" si="113"/>
        <v>50.57</v>
      </c>
      <c r="E7246" s="11"/>
      <c r="F7246" s="9"/>
    </row>
    <row r="7247" s="1" customFormat="1" customHeight="1" spans="1:6">
      <c r="A7247" s="9" t="str">
        <f>"10360524215"</f>
        <v>10360524215</v>
      </c>
      <c r="B7247" s="10">
        <v>33.98</v>
      </c>
      <c r="C7247" s="9"/>
      <c r="D7247" s="9">
        <f t="shared" si="113"/>
        <v>33.98</v>
      </c>
      <c r="E7247" s="11"/>
      <c r="F7247" s="9"/>
    </row>
    <row r="7248" s="1" customFormat="1" customHeight="1" spans="1:6">
      <c r="A7248" s="9" t="str">
        <f>"10070524216"</f>
        <v>10070524216</v>
      </c>
      <c r="B7248" s="10">
        <v>45.68</v>
      </c>
      <c r="C7248" s="9"/>
      <c r="D7248" s="9">
        <f t="shared" si="113"/>
        <v>45.68</v>
      </c>
      <c r="E7248" s="11"/>
      <c r="F7248" s="9"/>
    </row>
    <row r="7249" s="1" customFormat="1" customHeight="1" spans="1:6">
      <c r="A7249" s="9" t="str">
        <f>"10050524217"</f>
        <v>10050524217</v>
      </c>
      <c r="B7249" s="10">
        <v>0</v>
      </c>
      <c r="C7249" s="9"/>
      <c r="D7249" s="9">
        <f t="shared" si="113"/>
        <v>0</v>
      </c>
      <c r="E7249" s="11"/>
      <c r="F7249" s="9" t="s">
        <v>7</v>
      </c>
    </row>
    <row r="7250" s="1" customFormat="1" customHeight="1" spans="1:6">
      <c r="A7250" s="9" t="str">
        <f>"10360524218"</f>
        <v>10360524218</v>
      </c>
      <c r="B7250" s="10">
        <v>0</v>
      </c>
      <c r="C7250" s="9"/>
      <c r="D7250" s="9">
        <f t="shared" si="113"/>
        <v>0</v>
      </c>
      <c r="E7250" s="11"/>
      <c r="F7250" s="9" t="s">
        <v>7</v>
      </c>
    </row>
    <row r="7251" s="1" customFormat="1" customHeight="1" spans="1:6">
      <c r="A7251" s="9" t="str">
        <f>"10500524219"</f>
        <v>10500524219</v>
      </c>
      <c r="B7251" s="10">
        <v>29.01</v>
      </c>
      <c r="C7251" s="9"/>
      <c r="D7251" s="9">
        <f t="shared" si="113"/>
        <v>29.01</v>
      </c>
      <c r="E7251" s="11"/>
      <c r="F7251" s="9"/>
    </row>
    <row r="7252" s="1" customFormat="1" customHeight="1" spans="1:6">
      <c r="A7252" s="9" t="str">
        <f>"10360524220"</f>
        <v>10360524220</v>
      </c>
      <c r="B7252" s="10">
        <v>43.76</v>
      </c>
      <c r="C7252" s="9"/>
      <c r="D7252" s="9">
        <f t="shared" si="113"/>
        <v>43.76</v>
      </c>
      <c r="E7252" s="11"/>
      <c r="F7252" s="9"/>
    </row>
    <row r="7253" s="1" customFormat="1" customHeight="1" spans="1:6">
      <c r="A7253" s="9" t="str">
        <f>"10510524221"</f>
        <v>10510524221</v>
      </c>
      <c r="B7253" s="10">
        <v>36.12</v>
      </c>
      <c r="C7253" s="9"/>
      <c r="D7253" s="9">
        <f t="shared" si="113"/>
        <v>36.12</v>
      </c>
      <c r="E7253" s="11"/>
      <c r="F7253" s="9"/>
    </row>
    <row r="7254" s="1" customFormat="1" customHeight="1" spans="1:6">
      <c r="A7254" s="9" t="str">
        <f>"10360524222"</f>
        <v>10360524222</v>
      </c>
      <c r="B7254" s="10">
        <v>34.79</v>
      </c>
      <c r="C7254" s="9"/>
      <c r="D7254" s="9">
        <f t="shared" si="113"/>
        <v>34.79</v>
      </c>
      <c r="E7254" s="11"/>
      <c r="F7254" s="9"/>
    </row>
    <row r="7255" s="1" customFormat="1" customHeight="1" spans="1:6">
      <c r="A7255" s="9" t="str">
        <f>"10290524223"</f>
        <v>10290524223</v>
      </c>
      <c r="B7255" s="10">
        <v>48.54</v>
      </c>
      <c r="C7255" s="9"/>
      <c r="D7255" s="9">
        <f t="shared" si="113"/>
        <v>48.54</v>
      </c>
      <c r="E7255" s="11"/>
      <c r="F7255" s="9"/>
    </row>
    <row r="7256" s="1" customFormat="1" customHeight="1" spans="1:6">
      <c r="A7256" s="9" t="str">
        <f>"10080524224"</f>
        <v>10080524224</v>
      </c>
      <c r="B7256" s="10">
        <v>49.69</v>
      </c>
      <c r="C7256" s="9"/>
      <c r="D7256" s="9">
        <f t="shared" si="113"/>
        <v>49.69</v>
      </c>
      <c r="E7256" s="11"/>
      <c r="F7256" s="9"/>
    </row>
    <row r="7257" s="1" customFormat="1" customHeight="1" spans="1:6">
      <c r="A7257" s="9" t="str">
        <f>"10300524225"</f>
        <v>10300524225</v>
      </c>
      <c r="B7257" s="10">
        <v>42.9</v>
      </c>
      <c r="C7257" s="9"/>
      <c r="D7257" s="9">
        <f t="shared" si="113"/>
        <v>42.9</v>
      </c>
      <c r="E7257" s="11"/>
      <c r="F7257" s="9"/>
    </row>
    <row r="7258" s="1" customFormat="1" customHeight="1" spans="1:6">
      <c r="A7258" s="9" t="str">
        <f>"10060524226"</f>
        <v>10060524226</v>
      </c>
      <c r="B7258" s="10">
        <v>0</v>
      </c>
      <c r="C7258" s="9"/>
      <c r="D7258" s="9">
        <f t="shared" si="113"/>
        <v>0</v>
      </c>
      <c r="E7258" s="11"/>
      <c r="F7258" s="9" t="s">
        <v>7</v>
      </c>
    </row>
    <row r="7259" s="1" customFormat="1" customHeight="1" spans="1:6">
      <c r="A7259" s="9" t="str">
        <f>"10410524227"</f>
        <v>10410524227</v>
      </c>
      <c r="B7259" s="10">
        <v>32.92</v>
      </c>
      <c r="C7259" s="9"/>
      <c r="D7259" s="9">
        <f t="shared" si="113"/>
        <v>32.92</v>
      </c>
      <c r="E7259" s="11"/>
      <c r="F7259" s="9"/>
    </row>
    <row r="7260" s="1" customFormat="1" customHeight="1" spans="1:6">
      <c r="A7260" s="9" t="str">
        <f>"10300524228"</f>
        <v>10300524228</v>
      </c>
      <c r="B7260" s="10">
        <v>44.35</v>
      </c>
      <c r="C7260" s="9"/>
      <c r="D7260" s="9">
        <f t="shared" si="113"/>
        <v>44.35</v>
      </c>
      <c r="E7260" s="11"/>
      <c r="F7260" s="9"/>
    </row>
    <row r="7261" s="1" customFormat="1" customHeight="1" spans="1:6">
      <c r="A7261" s="9" t="str">
        <f>"10130524229"</f>
        <v>10130524229</v>
      </c>
      <c r="B7261" s="10">
        <v>0</v>
      </c>
      <c r="C7261" s="9"/>
      <c r="D7261" s="9">
        <f t="shared" si="113"/>
        <v>0</v>
      </c>
      <c r="E7261" s="11"/>
      <c r="F7261" s="9" t="s">
        <v>7</v>
      </c>
    </row>
    <row r="7262" s="1" customFormat="1" customHeight="1" spans="1:6">
      <c r="A7262" s="9" t="str">
        <f>"10460524230"</f>
        <v>10460524230</v>
      </c>
      <c r="B7262" s="10">
        <v>0</v>
      </c>
      <c r="C7262" s="9"/>
      <c r="D7262" s="9">
        <f t="shared" si="113"/>
        <v>0</v>
      </c>
      <c r="E7262" s="11"/>
      <c r="F7262" s="9" t="s">
        <v>7</v>
      </c>
    </row>
    <row r="7263" s="1" customFormat="1" customHeight="1" spans="1:6">
      <c r="A7263" s="9" t="str">
        <f>"10330524301"</f>
        <v>10330524301</v>
      </c>
      <c r="B7263" s="10">
        <v>37.35</v>
      </c>
      <c r="C7263" s="9"/>
      <c r="D7263" s="9">
        <f t="shared" si="113"/>
        <v>37.35</v>
      </c>
      <c r="E7263" s="11"/>
      <c r="F7263" s="9"/>
    </row>
    <row r="7264" s="1" customFormat="1" customHeight="1" spans="1:6">
      <c r="A7264" s="9" t="str">
        <f>"10110524302"</f>
        <v>10110524302</v>
      </c>
      <c r="B7264" s="10">
        <v>52.2</v>
      </c>
      <c r="C7264" s="9"/>
      <c r="D7264" s="9">
        <f t="shared" si="113"/>
        <v>52.2</v>
      </c>
      <c r="E7264" s="11"/>
      <c r="F7264" s="9"/>
    </row>
    <row r="7265" s="1" customFormat="1" customHeight="1" spans="1:6">
      <c r="A7265" s="9" t="str">
        <f>"10460524303"</f>
        <v>10460524303</v>
      </c>
      <c r="B7265" s="10">
        <v>44.58</v>
      </c>
      <c r="C7265" s="9"/>
      <c r="D7265" s="9">
        <f t="shared" si="113"/>
        <v>44.58</v>
      </c>
      <c r="E7265" s="11"/>
      <c r="F7265" s="9"/>
    </row>
    <row r="7266" s="1" customFormat="1" customHeight="1" spans="1:6">
      <c r="A7266" s="9" t="str">
        <f>"10530524304"</f>
        <v>10530524304</v>
      </c>
      <c r="B7266" s="10">
        <v>53.15</v>
      </c>
      <c r="C7266" s="9"/>
      <c r="D7266" s="9">
        <f t="shared" si="113"/>
        <v>53.15</v>
      </c>
      <c r="E7266" s="11"/>
      <c r="F7266" s="9"/>
    </row>
    <row r="7267" s="1" customFormat="1" customHeight="1" spans="1:6">
      <c r="A7267" s="9" t="str">
        <f>"10080524305"</f>
        <v>10080524305</v>
      </c>
      <c r="B7267" s="10">
        <v>0</v>
      </c>
      <c r="C7267" s="9"/>
      <c r="D7267" s="9">
        <f t="shared" si="113"/>
        <v>0</v>
      </c>
      <c r="E7267" s="11"/>
      <c r="F7267" s="9" t="s">
        <v>7</v>
      </c>
    </row>
    <row r="7268" s="1" customFormat="1" customHeight="1" spans="1:6">
      <c r="A7268" s="9" t="str">
        <f>"10370524306"</f>
        <v>10370524306</v>
      </c>
      <c r="B7268" s="10">
        <v>30.89</v>
      </c>
      <c r="C7268" s="9"/>
      <c r="D7268" s="9">
        <f t="shared" si="113"/>
        <v>30.89</v>
      </c>
      <c r="E7268" s="11"/>
      <c r="F7268" s="9"/>
    </row>
    <row r="7269" s="1" customFormat="1" customHeight="1" spans="1:6">
      <c r="A7269" s="9" t="str">
        <f>"10330524307"</f>
        <v>10330524307</v>
      </c>
      <c r="B7269" s="10">
        <v>41.3</v>
      </c>
      <c r="C7269" s="9"/>
      <c r="D7269" s="9">
        <f t="shared" si="113"/>
        <v>41.3</v>
      </c>
      <c r="E7269" s="11"/>
      <c r="F7269" s="9"/>
    </row>
    <row r="7270" s="1" customFormat="1" customHeight="1" spans="1:6">
      <c r="A7270" s="9" t="str">
        <f>"10210524308"</f>
        <v>10210524308</v>
      </c>
      <c r="B7270" s="10">
        <v>0</v>
      </c>
      <c r="C7270" s="9"/>
      <c r="D7270" s="9">
        <f t="shared" si="113"/>
        <v>0</v>
      </c>
      <c r="E7270" s="11"/>
      <c r="F7270" s="9" t="s">
        <v>7</v>
      </c>
    </row>
    <row r="7271" s="1" customFormat="1" customHeight="1" spans="1:6">
      <c r="A7271" s="9" t="str">
        <f>"10060524309"</f>
        <v>10060524309</v>
      </c>
      <c r="B7271" s="10">
        <v>39.61</v>
      </c>
      <c r="C7271" s="9"/>
      <c r="D7271" s="9">
        <f t="shared" si="113"/>
        <v>39.61</v>
      </c>
      <c r="E7271" s="11"/>
      <c r="F7271" s="9"/>
    </row>
    <row r="7272" s="1" customFormat="1" customHeight="1" spans="1:6">
      <c r="A7272" s="9" t="str">
        <f>"10360524310"</f>
        <v>10360524310</v>
      </c>
      <c r="B7272" s="10">
        <v>43.06</v>
      </c>
      <c r="C7272" s="9"/>
      <c r="D7272" s="9">
        <f t="shared" si="113"/>
        <v>43.06</v>
      </c>
      <c r="E7272" s="11"/>
      <c r="F7272" s="9"/>
    </row>
    <row r="7273" s="1" customFormat="1" customHeight="1" spans="1:6">
      <c r="A7273" s="9" t="str">
        <f>"10390524311"</f>
        <v>10390524311</v>
      </c>
      <c r="B7273" s="10">
        <v>45.47</v>
      </c>
      <c r="C7273" s="9"/>
      <c r="D7273" s="9">
        <f t="shared" si="113"/>
        <v>45.47</v>
      </c>
      <c r="E7273" s="11"/>
      <c r="F7273" s="9"/>
    </row>
    <row r="7274" s="1" customFormat="1" customHeight="1" spans="1:6">
      <c r="A7274" s="9" t="str">
        <f>"10060524312"</f>
        <v>10060524312</v>
      </c>
      <c r="B7274" s="10">
        <v>39.87</v>
      </c>
      <c r="C7274" s="9"/>
      <c r="D7274" s="9">
        <f t="shared" si="113"/>
        <v>39.87</v>
      </c>
      <c r="E7274" s="11"/>
      <c r="F7274" s="9"/>
    </row>
    <row r="7275" s="1" customFormat="1" customHeight="1" spans="1:6">
      <c r="A7275" s="9" t="str">
        <f>"10490524313"</f>
        <v>10490524313</v>
      </c>
      <c r="B7275" s="10">
        <v>36.32</v>
      </c>
      <c r="C7275" s="9"/>
      <c r="D7275" s="9">
        <f t="shared" si="113"/>
        <v>36.32</v>
      </c>
      <c r="E7275" s="11"/>
      <c r="F7275" s="9"/>
    </row>
    <row r="7276" s="1" customFormat="1" customHeight="1" spans="1:6">
      <c r="A7276" s="9" t="str">
        <f>"10040524314"</f>
        <v>10040524314</v>
      </c>
      <c r="B7276" s="10">
        <v>48</v>
      </c>
      <c r="C7276" s="9"/>
      <c r="D7276" s="9">
        <f t="shared" si="113"/>
        <v>48</v>
      </c>
      <c r="E7276" s="11"/>
      <c r="F7276" s="9"/>
    </row>
    <row r="7277" s="1" customFormat="1" customHeight="1" spans="1:6">
      <c r="A7277" s="9" t="str">
        <f>"10210524315"</f>
        <v>10210524315</v>
      </c>
      <c r="B7277" s="10">
        <v>39.38</v>
      </c>
      <c r="C7277" s="9"/>
      <c r="D7277" s="9">
        <f t="shared" si="113"/>
        <v>39.38</v>
      </c>
      <c r="E7277" s="11"/>
      <c r="F7277" s="9"/>
    </row>
    <row r="7278" s="1" customFormat="1" customHeight="1" spans="1:6">
      <c r="A7278" s="9" t="str">
        <f>"10520524316"</f>
        <v>10520524316</v>
      </c>
      <c r="B7278" s="10">
        <v>39.31</v>
      </c>
      <c r="C7278" s="9"/>
      <c r="D7278" s="9">
        <f t="shared" si="113"/>
        <v>39.31</v>
      </c>
      <c r="E7278" s="11"/>
      <c r="F7278" s="9"/>
    </row>
    <row r="7279" s="1" customFormat="1" customHeight="1" spans="1:6">
      <c r="A7279" s="9" t="str">
        <f>"10020524317"</f>
        <v>10020524317</v>
      </c>
      <c r="B7279" s="10">
        <v>35.37</v>
      </c>
      <c r="C7279" s="9"/>
      <c r="D7279" s="9">
        <f t="shared" si="113"/>
        <v>35.37</v>
      </c>
      <c r="E7279" s="11"/>
      <c r="F7279" s="9"/>
    </row>
    <row r="7280" s="1" customFormat="1" customHeight="1" spans="1:6">
      <c r="A7280" s="9" t="str">
        <f>"10530524318"</f>
        <v>10530524318</v>
      </c>
      <c r="B7280" s="10">
        <v>40.32</v>
      </c>
      <c r="C7280" s="9"/>
      <c r="D7280" s="9">
        <f t="shared" si="113"/>
        <v>40.32</v>
      </c>
      <c r="E7280" s="11"/>
      <c r="F7280" s="9"/>
    </row>
    <row r="7281" s="1" customFormat="1" customHeight="1" spans="1:6">
      <c r="A7281" s="9" t="str">
        <f>"10300524319"</f>
        <v>10300524319</v>
      </c>
      <c r="B7281" s="10">
        <v>0</v>
      </c>
      <c r="C7281" s="9"/>
      <c r="D7281" s="9">
        <f t="shared" si="113"/>
        <v>0</v>
      </c>
      <c r="E7281" s="11"/>
      <c r="F7281" s="9" t="s">
        <v>7</v>
      </c>
    </row>
    <row r="7282" s="1" customFormat="1" customHeight="1" spans="1:6">
      <c r="A7282" s="9" t="str">
        <f>"10360524320"</f>
        <v>10360524320</v>
      </c>
      <c r="B7282" s="10">
        <v>36.34</v>
      </c>
      <c r="C7282" s="9"/>
      <c r="D7282" s="9">
        <f t="shared" si="113"/>
        <v>36.34</v>
      </c>
      <c r="E7282" s="11"/>
      <c r="F7282" s="9"/>
    </row>
    <row r="7283" s="1" customFormat="1" customHeight="1" spans="1:6">
      <c r="A7283" s="9" t="str">
        <f>"10530524321"</f>
        <v>10530524321</v>
      </c>
      <c r="B7283" s="10">
        <v>0</v>
      </c>
      <c r="C7283" s="9"/>
      <c r="D7283" s="9">
        <f t="shared" si="113"/>
        <v>0</v>
      </c>
      <c r="E7283" s="11"/>
      <c r="F7283" s="9" t="s">
        <v>7</v>
      </c>
    </row>
    <row r="7284" s="1" customFormat="1" customHeight="1" spans="1:6">
      <c r="A7284" s="9" t="str">
        <f>"10180524322"</f>
        <v>10180524322</v>
      </c>
      <c r="B7284" s="10">
        <v>41.1</v>
      </c>
      <c r="C7284" s="9"/>
      <c r="D7284" s="9">
        <f t="shared" si="113"/>
        <v>41.1</v>
      </c>
      <c r="E7284" s="11"/>
      <c r="F7284" s="9"/>
    </row>
    <row r="7285" s="1" customFormat="1" customHeight="1" spans="1:6">
      <c r="A7285" s="9" t="str">
        <f>"10090524323"</f>
        <v>10090524323</v>
      </c>
      <c r="B7285" s="10">
        <v>0</v>
      </c>
      <c r="C7285" s="9"/>
      <c r="D7285" s="9">
        <f t="shared" si="113"/>
        <v>0</v>
      </c>
      <c r="E7285" s="11"/>
      <c r="F7285" s="9" t="s">
        <v>7</v>
      </c>
    </row>
    <row r="7286" s="1" customFormat="1" customHeight="1" spans="1:6">
      <c r="A7286" s="9" t="str">
        <f>"10520524324"</f>
        <v>10520524324</v>
      </c>
      <c r="B7286" s="10">
        <v>0</v>
      </c>
      <c r="C7286" s="9"/>
      <c r="D7286" s="9">
        <f t="shared" si="113"/>
        <v>0</v>
      </c>
      <c r="E7286" s="11"/>
      <c r="F7286" s="9" t="s">
        <v>7</v>
      </c>
    </row>
    <row r="7287" s="1" customFormat="1" customHeight="1" spans="1:6">
      <c r="A7287" s="9" t="str">
        <f>"10360524325"</f>
        <v>10360524325</v>
      </c>
      <c r="B7287" s="10">
        <v>45.22</v>
      </c>
      <c r="C7287" s="9"/>
      <c r="D7287" s="9">
        <f t="shared" si="113"/>
        <v>45.22</v>
      </c>
      <c r="E7287" s="11"/>
      <c r="F7287" s="9"/>
    </row>
    <row r="7288" s="1" customFormat="1" customHeight="1" spans="1:6">
      <c r="A7288" s="9" t="str">
        <f>"10380524326"</f>
        <v>10380524326</v>
      </c>
      <c r="B7288" s="10">
        <v>0</v>
      </c>
      <c r="C7288" s="9"/>
      <c r="D7288" s="9">
        <f t="shared" si="113"/>
        <v>0</v>
      </c>
      <c r="E7288" s="11"/>
      <c r="F7288" s="9" t="s">
        <v>7</v>
      </c>
    </row>
    <row r="7289" s="1" customFormat="1" customHeight="1" spans="1:6">
      <c r="A7289" s="9" t="str">
        <f>"10500524327"</f>
        <v>10500524327</v>
      </c>
      <c r="B7289" s="10">
        <v>52.41</v>
      </c>
      <c r="C7289" s="9"/>
      <c r="D7289" s="9">
        <f t="shared" si="113"/>
        <v>52.41</v>
      </c>
      <c r="E7289" s="11"/>
      <c r="F7289" s="9"/>
    </row>
    <row r="7290" s="1" customFormat="1" customHeight="1" spans="1:6">
      <c r="A7290" s="9" t="str">
        <f>"10010524328"</f>
        <v>10010524328</v>
      </c>
      <c r="B7290" s="10">
        <v>33.85</v>
      </c>
      <c r="C7290" s="9"/>
      <c r="D7290" s="9">
        <f t="shared" si="113"/>
        <v>33.85</v>
      </c>
      <c r="E7290" s="11"/>
      <c r="F7290" s="9"/>
    </row>
    <row r="7291" s="1" customFormat="1" customHeight="1" spans="1:6">
      <c r="A7291" s="9" t="str">
        <f>"20270524329"</f>
        <v>20270524329</v>
      </c>
      <c r="B7291" s="10">
        <v>40.61</v>
      </c>
      <c r="C7291" s="9"/>
      <c r="D7291" s="9">
        <f t="shared" si="113"/>
        <v>40.61</v>
      </c>
      <c r="E7291" s="11"/>
      <c r="F7291" s="9"/>
    </row>
    <row r="7292" s="1" customFormat="1" customHeight="1" spans="1:6">
      <c r="A7292" s="9" t="str">
        <f>"10360524330"</f>
        <v>10360524330</v>
      </c>
      <c r="B7292" s="10">
        <v>31.26</v>
      </c>
      <c r="C7292" s="9"/>
      <c r="D7292" s="9">
        <f t="shared" si="113"/>
        <v>31.26</v>
      </c>
      <c r="E7292" s="11"/>
      <c r="F7292" s="9"/>
    </row>
    <row r="7293" s="1" customFormat="1" customHeight="1" spans="1:6">
      <c r="A7293" s="9" t="str">
        <f>"10010824401"</f>
        <v>10010824401</v>
      </c>
      <c r="B7293" s="10">
        <v>40.32</v>
      </c>
      <c r="C7293" s="9"/>
      <c r="D7293" s="9">
        <f t="shared" si="113"/>
        <v>40.32</v>
      </c>
      <c r="E7293" s="11"/>
      <c r="F7293" s="9"/>
    </row>
    <row r="7294" s="1" customFormat="1" customHeight="1" spans="1:6">
      <c r="A7294" s="9" t="str">
        <f>"10210824402"</f>
        <v>10210824402</v>
      </c>
      <c r="B7294" s="10">
        <v>31.68</v>
      </c>
      <c r="C7294" s="9"/>
      <c r="D7294" s="9">
        <f t="shared" si="113"/>
        <v>31.68</v>
      </c>
      <c r="E7294" s="11"/>
      <c r="F7294" s="9"/>
    </row>
    <row r="7295" s="1" customFormat="1" customHeight="1" spans="1:6">
      <c r="A7295" s="9" t="str">
        <f>"10280824403"</f>
        <v>10280824403</v>
      </c>
      <c r="B7295" s="10">
        <v>41.14</v>
      </c>
      <c r="C7295" s="9"/>
      <c r="D7295" s="9">
        <f t="shared" si="113"/>
        <v>41.14</v>
      </c>
      <c r="E7295" s="11"/>
      <c r="F7295" s="9"/>
    </row>
    <row r="7296" s="1" customFormat="1" customHeight="1" spans="1:6">
      <c r="A7296" s="9" t="str">
        <f>"10360824404"</f>
        <v>10360824404</v>
      </c>
      <c r="B7296" s="10">
        <v>0</v>
      </c>
      <c r="C7296" s="9"/>
      <c r="D7296" s="9">
        <f t="shared" si="113"/>
        <v>0</v>
      </c>
      <c r="E7296" s="11"/>
      <c r="F7296" s="9" t="s">
        <v>7</v>
      </c>
    </row>
    <row r="7297" s="1" customFormat="1" customHeight="1" spans="1:6">
      <c r="A7297" s="9" t="str">
        <f>"10360824405"</f>
        <v>10360824405</v>
      </c>
      <c r="B7297" s="10">
        <v>41.47</v>
      </c>
      <c r="C7297" s="9"/>
      <c r="D7297" s="9">
        <f t="shared" si="113"/>
        <v>41.47</v>
      </c>
      <c r="E7297" s="11"/>
      <c r="F7297" s="9"/>
    </row>
    <row r="7298" s="1" customFormat="1" customHeight="1" spans="1:6">
      <c r="A7298" s="9" t="str">
        <f>"10210824406"</f>
        <v>10210824406</v>
      </c>
      <c r="B7298" s="10">
        <v>39.79</v>
      </c>
      <c r="C7298" s="9"/>
      <c r="D7298" s="9">
        <f t="shared" si="113"/>
        <v>39.79</v>
      </c>
      <c r="E7298" s="11"/>
      <c r="F7298" s="9"/>
    </row>
    <row r="7299" s="1" customFormat="1" customHeight="1" spans="1:6">
      <c r="A7299" s="9" t="str">
        <f>"10360824407"</f>
        <v>10360824407</v>
      </c>
      <c r="B7299" s="10">
        <v>42.25</v>
      </c>
      <c r="C7299" s="9"/>
      <c r="D7299" s="9">
        <f t="shared" ref="D7299:D7362" si="114">SUM(B7299:C7299)</f>
        <v>42.25</v>
      </c>
      <c r="E7299" s="11"/>
      <c r="F7299" s="9"/>
    </row>
    <row r="7300" s="1" customFormat="1" customHeight="1" spans="1:6">
      <c r="A7300" s="9" t="str">
        <f>"10460824408"</f>
        <v>10460824408</v>
      </c>
      <c r="B7300" s="10">
        <v>42.09</v>
      </c>
      <c r="C7300" s="9"/>
      <c r="D7300" s="9">
        <f t="shared" si="114"/>
        <v>42.09</v>
      </c>
      <c r="E7300" s="11"/>
      <c r="F7300" s="9"/>
    </row>
    <row r="7301" s="1" customFormat="1" customHeight="1" spans="1:6">
      <c r="A7301" s="9" t="str">
        <f>"10120824409"</f>
        <v>10120824409</v>
      </c>
      <c r="B7301" s="10">
        <v>40.65</v>
      </c>
      <c r="C7301" s="9"/>
      <c r="D7301" s="9">
        <f t="shared" si="114"/>
        <v>40.65</v>
      </c>
      <c r="E7301" s="11"/>
      <c r="F7301" s="9"/>
    </row>
    <row r="7302" s="1" customFormat="1" customHeight="1" spans="1:6">
      <c r="A7302" s="9" t="str">
        <f>"10280824410"</f>
        <v>10280824410</v>
      </c>
      <c r="B7302" s="10">
        <v>40.89</v>
      </c>
      <c r="C7302" s="9"/>
      <c r="D7302" s="9">
        <f t="shared" si="114"/>
        <v>40.89</v>
      </c>
      <c r="E7302" s="11"/>
      <c r="F7302" s="9"/>
    </row>
    <row r="7303" s="1" customFormat="1" customHeight="1" spans="1:6">
      <c r="A7303" s="9" t="str">
        <f>"10360824411"</f>
        <v>10360824411</v>
      </c>
      <c r="B7303" s="10">
        <v>39.75</v>
      </c>
      <c r="C7303" s="9"/>
      <c r="D7303" s="9">
        <f t="shared" si="114"/>
        <v>39.75</v>
      </c>
      <c r="E7303" s="11"/>
      <c r="F7303" s="9"/>
    </row>
    <row r="7304" s="1" customFormat="1" customHeight="1" spans="1:6">
      <c r="A7304" s="9" t="str">
        <f>"10270824412"</f>
        <v>10270824412</v>
      </c>
      <c r="B7304" s="10">
        <v>0</v>
      </c>
      <c r="C7304" s="9"/>
      <c r="D7304" s="9">
        <f t="shared" si="114"/>
        <v>0</v>
      </c>
      <c r="E7304" s="11"/>
      <c r="F7304" s="9" t="s">
        <v>7</v>
      </c>
    </row>
    <row r="7305" s="1" customFormat="1" customHeight="1" spans="1:6">
      <c r="A7305" s="9" t="str">
        <f>"10510824413"</f>
        <v>10510824413</v>
      </c>
      <c r="B7305" s="10">
        <v>0</v>
      </c>
      <c r="C7305" s="9"/>
      <c r="D7305" s="9">
        <f t="shared" si="114"/>
        <v>0</v>
      </c>
      <c r="E7305" s="11"/>
      <c r="F7305" s="9" t="s">
        <v>7</v>
      </c>
    </row>
    <row r="7306" s="1" customFormat="1" customHeight="1" spans="1:6">
      <c r="A7306" s="9" t="str">
        <f>"10360824414"</f>
        <v>10360824414</v>
      </c>
      <c r="B7306" s="10">
        <v>35.87</v>
      </c>
      <c r="C7306" s="9"/>
      <c r="D7306" s="9">
        <f t="shared" si="114"/>
        <v>35.87</v>
      </c>
      <c r="E7306" s="11"/>
      <c r="F7306" s="9"/>
    </row>
    <row r="7307" s="1" customFormat="1" customHeight="1" spans="1:6">
      <c r="A7307" s="9" t="str">
        <f>"10510824415"</f>
        <v>10510824415</v>
      </c>
      <c r="B7307" s="10">
        <v>33.71</v>
      </c>
      <c r="C7307" s="9"/>
      <c r="D7307" s="9">
        <f t="shared" si="114"/>
        <v>33.71</v>
      </c>
      <c r="E7307" s="11"/>
      <c r="F7307" s="9"/>
    </row>
    <row r="7308" s="1" customFormat="1" customHeight="1" spans="1:6">
      <c r="A7308" s="9" t="str">
        <f>"10350824416"</f>
        <v>10350824416</v>
      </c>
      <c r="B7308" s="10">
        <v>51.5</v>
      </c>
      <c r="C7308" s="9"/>
      <c r="D7308" s="9">
        <f t="shared" si="114"/>
        <v>51.5</v>
      </c>
      <c r="E7308" s="11"/>
      <c r="F7308" s="9"/>
    </row>
    <row r="7309" s="1" customFormat="1" customHeight="1" spans="1:6">
      <c r="A7309" s="9" t="str">
        <f>"10280824417"</f>
        <v>10280824417</v>
      </c>
      <c r="B7309" s="10">
        <v>45.23</v>
      </c>
      <c r="C7309" s="9"/>
      <c r="D7309" s="9">
        <f t="shared" si="114"/>
        <v>45.23</v>
      </c>
      <c r="E7309" s="11"/>
      <c r="F7309" s="9"/>
    </row>
    <row r="7310" s="1" customFormat="1" customHeight="1" spans="1:6">
      <c r="A7310" s="9" t="str">
        <f>"10210824418"</f>
        <v>10210824418</v>
      </c>
      <c r="B7310" s="10">
        <v>0</v>
      </c>
      <c r="C7310" s="9"/>
      <c r="D7310" s="9">
        <f t="shared" si="114"/>
        <v>0</v>
      </c>
      <c r="E7310" s="11"/>
      <c r="F7310" s="9" t="s">
        <v>7</v>
      </c>
    </row>
    <row r="7311" s="1" customFormat="1" customHeight="1" spans="1:6">
      <c r="A7311" s="9" t="str">
        <f>"10110824419"</f>
        <v>10110824419</v>
      </c>
      <c r="B7311" s="10">
        <v>36.39</v>
      </c>
      <c r="C7311" s="9"/>
      <c r="D7311" s="9">
        <f t="shared" si="114"/>
        <v>36.39</v>
      </c>
      <c r="E7311" s="11"/>
      <c r="F7311" s="9"/>
    </row>
    <row r="7312" s="1" customFormat="1" customHeight="1" spans="1:6">
      <c r="A7312" s="9" t="str">
        <f>"10360824420"</f>
        <v>10360824420</v>
      </c>
      <c r="B7312" s="10">
        <v>0</v>
      </c>
      <c r="C7312" s="9"/>
      <c r="D7312" s="9">
        <f t="shared" si="114"/>
        <v>0</v>
      </c>
      <c r="E7312" s="11"/>
      <c r="F7312" s="9" t="s">
        <v>7</v>
      </c>
    </row>
    <row r="7313" s="1" customFormat="1" customHeight="1" spans="1:6">
      <c r="A7313" s="9" t="str">
        <f>"10360824421"</f>
        <v>10360824421</v>
      </c>
      <c r="B7313" s="10">
        <v>0</v>
      </c>
      <c r="C7313" s="9"/>
      <c r="D7313" s="9">
        <f t="shared" si="114"/>
        <v>0</v>
      </c>
      <c r="E7313" s="11"/>
      <c r="F7313" s="9" t="s">
        <v>7</v>
      </c>
    </row>
    <row r="7314" s="1" customFormat="1" customHeight="1" spans="1:6">
      <c r="A7314" s="9" t="str">
        <f>"10500824422"</f>
        <v>10500824422</v>
      </c>
      <c r="B7314" s="10">
        <v>37.79</v>
      </c>
      <c r="C7314" s="9"/>
      <c r="D7314" s="9">
        <f t="shared" si="114"/>
        <v>37.79</v>
      </c>
      <c r="E7314" s="11"/>
      <c r="F7314" s="9"/>
    </row>
    <row r="7315" s="1" customFormat="1" customHeight="1" spans="1:6">
      <c r="A7315" s="9" t="str">
        <f>"10300824423"</f>
        <v>10300824423</v>
      </c>
      <c r="B7315" s="10">
        <v>0</v>
      </c>
      <c r="C7315" s="9"/>
      <c r="D7315" s="9">
        <f t="shared" si="114"/>
        <v>0</v>
      </c>
      <c r="E7315" s="11"/>
      <c r="F7315" s="9" t="s">
        <v>7</v>
      </c>
    </row>
    <row r="7316" s="1" customFormat="1" customHeight="1" spans="1:6">
      <c r="A7316" s="9" t="str">
        <f>"10320824424"</f>
        <v>10320824424</v>
      </c>
      <c r="B7316" s="10">
        <v>37.43</v>
      </c>
      <c r="C7316" s="9"/>
      <c r="D7316" s="9">
        <f t="shared" si="114"/>
        <v>37.43</v>
      </c>
      <c r="E7316" s="11"/>
      <c r="F7316" s="9"/>
    </row>
    <row r="7317" s="1" customFormat="1" customHeight="1" spans="1:6">
      <c r="A7317" s="9" t="str">
        <f>"10530824425"</f>
        <v>10530824425</v>
      </c>
      <c r="B7317" s="10">
        <v>0</v>
      </c>
      <c r="C7317" s="9"/>
      <c r="D7317" s="9">
        <f t="shared" si="114"/>
        <v>0</v>
      </c>
      <c r="E7317" s="11"/>
      <c r="F7317" s="9" t="s">
        <v>7</v>
      </c>
    </row>
    <row r="7318" s="1" customFormat="1" customHeight="1" spans="1:6">
      <c r="A7318" s="9" t="str">
        <f>"10530824426"</f>
        <v>10530824426</v>
      </c>
      <c r="B7318" s="10">
        <v>0</v>
      </c>
      <c r="C7318" s="9"/>
      <c r="D7318" s="9">
        <f t="shared" si="114"/>
        <v>0</v>
      </c>
      <c r="E7318" s="11"/>
      <c r="F7318" s="9" t="s">
        <v>7</v>
      </c>
    </row>
    <row r="7319" s="1" customFormat="1" customHeight="1" spans="1:6">
      <c r="A7319" s="9" t="str">
        <f>"10010824427"</f>
        <v>10010824427</v>
      </c>
      <c r="B7319" s="10">
        <v>0</v>
      </c>
      <c r="C7319" s="9"/>
      <c r="D7319" s="9">
        <f t="shared" si="114"/>
        <v>0</v>
      </c>
      <c r="E7319" s="11"/>
      <c r="F7319" s="9" t="s">
        <v>7</v>
      </c>
    </row>
    <row r="7320" s="1" customFormat="1" customHeight="1" spans="1:6">
      <c r="A7320" s="9" t="str">
        <f>"10160824428"</f>
        <v>10160824428</v>
      </c>
      <c r="B7320" s="10">
        <v>38.04</v>
      </c>
      <c r="C7320" s="9"/>
      <c r="D7320" s="9">
        <f t="shared" si="114"/>
        <v>38.04</v>
      </c>
      <c r="E7320" s="11"/>
      <c r="F7320" s="9"/>
    </row>
    <row r="7321" s="1" customFormat="1" customHeight="1" spans="1:6">
      <c r="A7321" s="9" t="str">
        <f>"10130824429"</f>
        <v>10130824429</v>
      </c>
      <c r="B7321" s="10">
        <v>42.45</v>
      </c>
      <c r="C7321" s="9"/>
      <c r="D7321" s="9">
        <f t="shared" si="114"/>
        <v>42.45</v>
      </c>
      <c r="E7321" s="11"/>
      <c r="F7321" s="9"/>
    </row>
    <row r="7322" s="1" customFormat="1" customHeight="1" spans="1:6">
      <c r="A7322" s="9" t="str">
        <f>"10360824430"</f>
        <v>10360824430</v>
      </c>
      <c r="B7322" s="10">
        <v>42.04</v>
      </c>
      <c r="C7322" s="9"/>
      <c r="D7322" s="9">
        <f t="shared" si="114"/>
        <v>42.04</v>
      </c>
      <c r="E7322" s="11"/>
      <c r="F7322" s="9"/>
    </row>
    <row r="7323" s="1" customFormat="1" customHeight="1" spans="1:6">
      <c r="A7323" s="9" t="str">
        <f>"10290824501"</f>
        <v>10290824501</v>
      </c>
      <c r="B7323" s="10">
        <v>40.47</v>
      </c>
      <c r="C7323" s="9"/>
      <c r="D7323" s="9">
        <f t="shared" si="114"/>
        <v>40.47</v>
      </c>
      <c r="E7323" s="11"/>
      <c r="F7323" s="9"/>
    </row>
    <row r="7324" s="1" customFormat="1" customHeight="1" spans="1:6">
      <c r="A7324" s="9" t="str">
        <f>"10360824502"</f>
        <v>10360824502</v>
      </c>
      <c r="B7324" s="10">
        <v>38.29</v>
      </c>
      <c r="C7324" s="9"/>
      <c r="D7324" s="9">
        <f t="shared" si="114"/>
        <v>38.29</v>
      </c>
      <c r="E7324" s="11"/>
      <c r="F7324" s="9"/>
    </row>
    <row r="7325" s="1" customFormat="1" customHeight="1" spans="1:6">
      <c r="A7325" s="9" t="str">
        <f>"10530824503"</f>
        <v>10530824503</v>
      </c>
      <c r="B7325" s="10">
        <v>0</v>
      </c>
      <c r="C7325" s="9"/>
      <c r="D7325" s="9">
        <f t="shared" si="114"/>
        <v>0</v>
      </c>
      <c r="E7325" s="11"/>
      <c r="F7325" s="9" t="s">
        <v>7</v>
      </c>
    </row>
    <row r="7326" s="1" customFormat="1" customHeight="1" spans="1:6">
      <c r="A7326" s="9" t="str">
        <f>"10500824504"</f>
        <v>10500824504</v>
      </c>
      <c r="B7326" s="10">
        <v>0</v>
      </c>
      <c r="C7326" s="9"/>
      <c r="D7326" s="9">
        <f t="shared" si="114"/>
        <v>0</v>
      </c>
      <c r="E7326" s="11"/>
      <c r="F7326" s="9" t="s">
        <v>7</v>
      </c>
    </row>
    <row r="7327" s="1" customFormat="1" customHeight="1" spans="1:6">
      <c r="A7327" s="9" t="str">
        <f>"10360824505"</f>
        <v>10360824505</v>
      </c>
      <c r="B7327" s="10">
        <v>0</v>
      </c>
      <c r="C7327" s="9"/>
      <c r="D7327" s="9">
        <f t="shared" si="114"/>
        <v>0</v>
      </c>
      <c r="E7327" s="11"/>
      <c r="F7327" s="9" t="s">
        <v>7</v>
      </c>
    </row>
    <row r="7328" s="1" customFormat="1" customHeight="1" spans="1:6">
      <c r="A7328" s="9" t="str">
        <f>"10090824506"</f>
        <v>10090824506</v>
      </c>
      <c r="B7328" s="10">
        <v>46.38</v>
      </c>
      <c r="C7328" s="9"/>
      <c r="D7328" s="9">
        <f t="shared" si="114"/>
        <v>46.38</v>
      </c>
      <c r="E7328" s="11"/>
      <c r="F7328" s="9"/>
    </row>
    <row r="7329" s="1" customFormat="1" customHeight="1" spans="1:6">
      <c r="A7329" s="9" t="str">
        <f>"10020824507"</f>
        <v>10020824507</v>
      </c>
      <c r="B7329" s="10">
        <v>44.33</v>
      </c>
      <c r="C7329" s="9"/>
      <c r="D7329" s="9">
        <f t="shared" si="114"/>
        <v>44.33</v>
      </c>
      <c r="E7329" s="11"/>
      <c r="F7329" s="9"/>
    </row>
    <row r="7330" s="1" customFormat="1" customHeight="1" spans="1:6">
      <c r="A7330" s="9" t="str">
        <f>"10120824508"</f>
        <v>10120824508</v>
      </c>
      <c r="B7330" s="10">
        <v>0</v>
      </c>
      <c r="C7330" s="9"/>
      <c r="D7330" s="9">
        <f t="shared" si="114"/>
        <v>0</v>
      </c>
      <c r="E7330" s="11"/>
      <c r="F7330" s="9" t="s">
        <v>7</v>
      </c>
    </row>
    <row r="7331" s="1" customFormat="1" customHeight="1" spans="1:6">
      <c r="A7331" s="9" t="str">
        <f>"10140824509"</f>
        <v>10140824509</v>
      </c>
      <c r="B7331" s="10">
        <v>0</v>
      </c>
      <c r="C7331" s="9"/>
      <c r="D7331" s="9">
        <f t="shared" si="114"/>
        <v>0</v>
      </c>
      <c r="E7331" s="11"/>
      <c r="F7331" s="9" t="s">
        <v>7</v>
      </c>
    </row>
    <row r="7332" s="1" customFormat="1" customHeight="1" spans="1:6">
      <c r="A7332" s="9" t="str">
        <f>"10530824510"</f>
        <v>10530824510</v>
      </c>
      <c r="B7332" s="10">
        <v>0</v>
      </c>
      <c r="C7332" s="9"/>
      <c r="D7332" s="9">
        <f t="shared" si="114"/>
        <v>0</v>
      </c>
      <c r="E7332" s="11"/>
      <c r="F7332" s="9" t="s">
        <v>7</v>
      </c>
    </row>
    <row r="7333" s="1" customFormat="1" customHeight="1" spans="1:6">
      <c r="A7333" s="9" t="str">
        <f>"10510824511"</f>
        <v>10510824511</v>
      </c>
      <c r="B7333" s="10">
        <v>37.29</v>
      </c>
      <c r="C7333" s="9"/>
      <c r="D7333" s="9">
        <f t="shared" si="114"/>
        <v>37.29</v>
      </c>
      <c r="E7333" s="11"/>
      <c r="F7333" s="9"/>
    </row>
    <row r="7334" s="1" customFormat="1" customHeight="1" spans="1:6">
      <c r="A7334" s="9" t="str">
        <f>"10240824512"</f>
        <v>10240824512</v>
      </c>
      <c r="B7334" s="10">
        <v>45.66</v>
      </c>
      <c r="C7334" s="9"/>
      <c r="D7334" s="9">
        <f t="shared" si="114"/>
        <v>45.66</v>
      </c>
      <c r="E7334" s="11"/>
      <c r="F7334" s="9"/>
    </row>
    <row r="7335" s="1" customFormat="1" customHeight="1" spans="1:6">
      <c r="A7335" s="9" t="str">
        <f>"10110824513"</f>
        <v>10110824513</v>
      </c>
      <c r="B7335" s="10">
        <v>26.05</v>
      </c>
      <c r="C7335" s="9"/>
      <c r="D7335" s="9">
        <f t="shared" si="114"/>
        <v>26.05</v>
      </c>
      <c r="E7335" s="11"/>
      <c r="F7335" s="9"/>
    </row>
    <row r="7336" s="1" customFormat="1" customHeight="1" spans="1:6">
      <c r="A7336" s="9" t="str">
        <f>"10300824514"</f>
        <v>10300824514</v>
      </c>
      <c r="B7336" s="10">
        <v>0</v>
      </c>
      <c r="C7336" s="9"/>
      <c r="D7336" s="9">
        <f t="shared" si="114"/>
        <v>0</v>
      </c>
      <c r="E7336" s="11"/>
      <c r="F7336" s="9" t="s">
        <v>7</v>
      </c>
    </row>
    <row r="7337" s="1" customFormat="1" customHeight="1" spans="1:6">
      <c r="A7337" s="9" t="str">
        <f>"10360824515"</f>
        <v>10360824515</v>
      </c>
      <c r="B7337" s="10">
        <v>0</v>
      </c>
      <c r="C7337" s="9"/>
      <c r="D7337" s="9">
        <f t="shared" si="114"/>
        <v>0</v>
      </c>
      <c r="E7337" s="11"/>
      <c r="F7337" s="9" t="s">
        <v>7</v>
      </c>
    </row>
    <row r="7338" s="1" customFormat="1" customHeight="1" spans="1:6">
      <c r="A7338" s="9" t="str">
        <f>"10530824516"</f>
        <v>10530824516</v>
      </c>
      <c r="B7338" s="10">
        <v>0</v>
      </c>
      <c r="C7338" s="9"/>
      <c r="D7338" s="9">
        <f t="shared" si="114"/>
        <v>0</v>
      </c>
      <c r="E7338" s="11"/>
      <c r="F7338" s="9" t="s">
        <v>7</v>
      </c>
    </row>
    <row r="7339" s="1" customFormat="1" customHeight="1" spans="1:6">
      <c r="A7339" s="9" t="str">
        <f>"10360824517"</f>
        <v>10360824517</v>
      </c>
      <c r="B7339" s="10">
        <v>37.61</v>
      </c>
      <c r="C7339" s="9">
        <v>10</v>
      </c>
      <c r="D7339" s="9">
        <f t="shared" si="114"/>
        <v>47.61</v>
      </c>
      <c r="E7339" s="12" t="s">
        <v>8</v>
      </c>
      <c r="F7339" s="9"/>
    </row>
    <row r="7340" s="1" customFormat="1" customHeight="1" spans="1:6">
      <c r="A7340" s="9" t="str">
        <f>"10210824518"</f>
        <v>10210824518</v>
      </c>
      <c r="B7340" s="10">
        <v>41.69</v>
      </c>
      <c r="C7340" s="9"/>
      <c r="D7340" s="9">
        <f t="shared" si="114"/>
        <v>41.69</v>
      </c>
      <c r="E7340" s="11"/>
      <c r="F7340" s="9"/>
    </row>
    <row r="7341" s="1" customFormat="1" customHeight="1" spans="1:6">
      <c r="A7341" s="9" t="str">
        <f>"10090824519"</f>
        <v>10090824519</v>
      </c>
      <c r="B7341" s="10">
        <v>0</v>
      </c>
      <c r="C7341" s="9"/>
      <c r="D7341" s="9">
        <f t="shared" si="114"/>
        <v>0</v>
      </c>
      <c r="E7341" s="11"/>
      <c r="F7341" s="9" t="s">
        <v>7</v>
      </c>
    </row>
    <row r="7342" s="1" customFormat="1" customHeight="1" spans="1:6">
      <c r="A7342" s="9" t="str">
        <f>"10360824520"</f>
        <v>10360824520</v>
      </c>
      <c r="B7342" s="10">
        <v>0</v>
      </c>
      <c r="C7342" s="9"/>
      <c r="D7342" s="9">
        <f t="shared" si="114"/>
        <v>0</v>
      </c>
      <c r="E7342" s="11"/>
      <c r="F7342" s="9" t="s">
        <v>7</v>
      </c>
    </row>
    <row r="7343" s="1" customFormat="1" customHeight="1" spans="1:6">
      <c r="A7343" s="9" t="str">
        <f>"10530824521"</f>
        <v>10530824521</v>
      </c>
      <c r="B7343" s="10">
        <v>35.17</v>
      </c>
      <c r="C7343" s="9"/>
      <c r="D7343" s="9">
        <f t="shared" si="114"/>
        <v>35.17</v>
      </c>
      <c r="E7343" s="11"/>
      <c r="F7343" s="9"/>
    </row>
    <row r="7344" s="1" customFormat="1" customHeight="1" spans="1:6">
      <c r="A7344" s="9" t="str">
        <f>"10080824522"</f>
        <v>10080824522</v>
      </c>
      <c r="B7344" s="10">
        <v>0</v>
      </c>
      <c r="C7344" s="9"/>
      <c r="D7344" s="9">
        <f t="shared" si="114"/>
        <v>0</v>
      </c>
      <c r="E7344" s="11"/>
      <c r="F7344" s="9" t="s">
        <v>7</v>
      </c>
    </row>
    <row r="7345" s="1" customFormat="1" customHeight="1" spans="1:6">
      <c r="A7345" s="9" t="str">
        <f>"10480824523"</f>
        <v>10480824523</v>
      </c>
      <c r="B7345" s="10">
        <v>42.62</v>
      </c>
      <c r="C7345" s="9"/>
      <c r="D7345" s="9">
        <f t="shared" si="114"/>
        <v>42.62</v>
      </c>
      <c r="E7345" s="11"/>
      <c r="F7345" s="9"/>
    </row>
    <row r="7346" s="1" customFormat="1" customHeight="1" spans="1:6">
      <c r="A7346" s="9" t="str">
        <f>"10450824524"</f>
        <v>10450824524</v>
      </c>
      <c r="B7346" s="10">
        <v>41.62</v>
      </c>
      <c r="C7346" s="9"/>
      <c r="D7346" s="9">
        <f t="shared" si="114"/>
        <v>41.62</v>
      </c>
      <c r="E7346" s="11"/>
      <c r="F7346" s="9"/>
    </row>
    <row r="7347" s="1" customFormat="1" customHeight="1" spans="1:6">
      <c r="A7347" s="9" t="str">
        <f>"10130824525"</f>
        <v>10130824525</v>
      </c>
      <c r="B7347" s="10">
        <v>40.39</v>
      </c>
      <c r="C7347" s="9"/>
      <c r="D7347" s="9">
        <f t="shared" si="114"/>
        <v>40.39</v>
      </c>
      <c r="E7347" s="11"/>
      <c r="F7347" s="9"/>
    </row>
    <row r="7348" s="1" customFormat="1" customHeight="1" spans="1:6">
      <c r="A7348" s="9" t="str">
        <f>"10360824526"</f>
        <v>10360824526</v>
      </c>
      <c r="B7348" s="10">
        <v>0</v>
      </c>
      <c r="C7348" s="9"/>
      <c r="D7348" s="9">
        <f t="shared" si="114"/>
        <v>0</v>
      </c>
      <c r="E7348" s="11"/>
      <c r="F7348" s="9" t="s">
        <v>7</v>
      </c>
    </row>
    <row r="7349" s="1" customFormat="1" customHeight="1" spans="1:6">
      <c r="A7349" s="9" t="str">
        <f>"10350824527"</f>
        <v>10350824527</v>
      </c>
      <c r="B7349" s="10">
        <v>42.62</v>
      </c>
      <c r="C7349" s="9"/>
      <c r="D7349" s="9">
        <f t="shared" si="114"/>
        <v>42.62</v>
      </c>
      <c r="E7349" s="11"/>
      <c r="F7349" s="9"/>
    </row>
    <row r="7350" s="1" customFormat="1" customHeight="1" spans="1:6">
      <c r="A7350" s="9" t="str">
        <f>"10360824528"</f>
        <v>10360824528</v>
      </c>
      <c r="B7350" s="10">
        <v>39.52</v>
      </c>
      <c r="C7350" s="9"/>
      <c r="D7350" s="9">
        <f t="shared" si="114"/>
        <v>39.52</v>
      </c>
      <c r="E7350" s="11"/>
      <c r="F7350" s="9"/>
    </row>
    <row r="7351" s="1" customFormat="1" customHeight="1" spans="1:6">
      <c r="A7351" s="9" t="str">
        <f>"10210824529"</f>
        <v>10210824529</v>
      </c>
      <c r="B7351" s="10">
        <v>38.67</v>
      </c>
      <c r="C7351" s="9"/>
      <c r="D7351" s="9">
        <f t="shared" si="114"/>
        <v>38.67</v>
      </c>
      <c r="E7351" s="11"/>
      <c r="F7351" s="9"/>
    </row>
    <row r="7352" s="1" customFormat="1" customHeight="1" spans="1:6">
      <c r="A7352" s="9" t="str">
        <f>"10390824530"</f>
        <v>10390824530</v>
      </c>
      <c r="B7352" s="10">
        <v>48.56</v>
      </c>
      <c r="C7352" s="9"/>
      <c r="D7352" s="9">
        <f t="shared" si="114"/>
        <v>48.56</v>
      </c>
      <c r="E7352" s="11"/>
      <c r="F7352" s="9"/>
    </row>
    <row r="7353" s="1" customFormat="1" customHeight="1" spans="1:6">
      <c r="A7353" s="9" t="str">
        <f>"10080824601"</f>
        <v>10080824601</v>
      </c>
      <c r="B7353" s="10">
        <v>37.97</v>
      </c>
      <c r="C7353" s="9"/>
      <c r="D7353" s="9">
        <f t="shared" si="114"/>
        <v>37.97</v>
      </c>
      <c r="E7353" s="11"/>
      <c r="F7353" s="9"/>
    </row>
    <row r="7354" s="1" customFormat="1" customHeight="1" spans="1:6">
      <c r="A7354" s="9" t="str">
        <f>"10080824602"</f>
        <v>10080824602</v>
      </c>
      <c r="B7354" s="10">
        <v>32.89</v>
      </c>
      <c r="C7354" s="9"/>
      <c r="D7354" s="9">
        <f t="shared" si="114"/>
        <v>32.89</v>
      </c>
      <c r="E7354" s="11"/>
      <c r="F7354" s="9"/>
    </row>
    <row r="7355" s="1" customFormat="1" customHeight="1" spans="1:6">
      <c r="A7355" s="9" t="str">
        <f>"10090824603"</f>
        <v>10090824603</v>
      </c>
      <c r="B7355" s="10">
        <v>0</v>
      </c>
      <c r="C7355" s="9"/>
      <c r="D7355" s="9">
        <f t="shared" si="114"/>
        <v>0</v>
      </c>
      <c r="E7355" s="11"/>
      <c r="F7355" s="9" t="s">
        <v>7</v>
      </c>
    </row>
    <row r="7356" s="1" customFormat="1" customHeight="1" spans="1:6">
      <c r="A7356" s="9" t="str">
        <f>"10360824604"</f>
        <v>10360824604</v>
      </c>
      <c r="B7356" s="10">
        <v>0</v>
      </c>
      <c r="C7356" s="9">
        <v>10</v>
      </c>
      <c r="D7356" s="9">
        <f t="shared" si="114"/>
        <v>10</v>
      </c>
      <c r="E7356" s="12" t="s">
        <v>8</v>
      </c>
      <c r="F7356" s="9" t="s">
        <v>7</v>
      </c>
    </row>
    <row r="7357" s="1" customFormat="1" customHeight="1" spans="1:6">
      <c r="A7357" s="9" t="str">
        <f>"10320824605"</f>
        <v>10320824605</v>
      </c>
      <c r="B7357" s="10">
        <v>0</v>
      </c>
      <c r="C7357" s="9"/>
      <c r="D7357" s="9">
        <f t="shared" si="114"/>
        <v>0</v>
      </c>
      <c r="E7357" s="11"/>
      <c r="F7357" s="9" t="s">
        <v>7</v>
      </c>
    </row>
    <row r="7358" s="1" customFormat="1" customHeight="1" spans="1:6">
      <c r="A7358" s="9" t="str">
        <f>"10520824606"</f>
        <v>10520824606</v>
      </c>
      <c r="B7358" s="10">
        <v>0</v>
      </c>
      <c r="C7358" s="9"/>
      <c r="D7358" s="9">
        <f t="shared" si="114"/>
        <v>0</v>
      </c>
      <c r="E7358" s="11"/>
      <c r="F7358" s="9" t="s">
        <v>7</v>
      </c>
    </row>
    <row r="7359" s="1" customFormat="1" customHeight="1" spans="1:6">
      <c r="A7359" s="9" t="str">
        <f>"10470824607"</f>
        <v>10470824607</v>
      </c>
      <c r="B7359" s="10">
        <v>51.25</v>
      </c>
      <c r="C7359" s="9"/>
      <c r="D7359" s="9">
        <f t="shared" si="114"/>
        <v>51.25</v>
      </c>
      <c r="E7359" s="11"/>
      <c r="F7359" s="9"/>
    </row>
    <row r="7360" s="1" customFormat="1" customHeight="1" spans="1:6">
      <c r="A7360" s="9" t="str">
        <f>"10530824608"</f>
        <v>10530824608</v>
      </c>
      <c r="B7360" s="10">
        <v>33.82</v>
      </c>
      <c r="C7360" s="9">
        <v>10</v>
      </c>
      <c r="D7360" s="9">
        <f t="shared" si="114"/>
        <v>43.82</v>
      </c>
      <c r="E7360" s="12" t="s">
        <v>8</v>
      </c>
      <c r="F7360" s="9"/>
    </row>
    <row r="7361" s="1" customFormat="1" customHeight="1" spans="1:6">
      <c r="A7361" s="9" t="str">
        <f>"10360824609"</f>
        <v>10360824609</v>
      </c>
      <c r="B7361" s="10">
        <v>41.89</v>
      </c>
      <c r="C7361" s="9"/>
      <c r="D7361" s="9">
        <f t="shared" si="114"/>
        <v>41.89</v>
      </c>
      <c r="E7361" s="11"/>
      <c r="F7361" s="9"/>
    </row>
    <row r="7362" s="1" customFormat="1" customHeight="1" spans="1:6">
      <c r="A7362" s="9" t="str">
        <f>"10060824610"</f>
        <v>10060824610</v>
      </c>
      <c r="B7362" s="10">
        <v>40.55</v>
      </c>
      <c r="C7362" s="9"/>
      <c r="D7362" s="9">
        <f t="shared" si="114"/>
        <v>40.55</v>
      </c>
      <c r="E7362" s="11"/>
      <c r="F7362" s="9"/>
    </row>
    <row r="7363" s="1" customFormat="1" customHeight="1" spans="1:6">
      <c r="A7363" s="9" t="str">
        <f>"10490824611"</f>
        <v>10490824611</v>
      </c>
      <c r="B7363" s="10">
        <v>57.68</v>
      </c>
      <c r="C7363" s="9"/>
      <c r="D7363" s="9">
        <f t="shared" ref="D7363:D7426" si="115">SUM(B7363:C7363)</f>
        <v>57.68</v>
      </c>
      <c r="E7363" s="11"/>
      <c r="F7363" s="9"/>
    </row>
    <row r="7364" s="1" customFormat="1" customHeight="1" spans="1:6">
      <c r="A7364" s="9" t="str">
        <f>"10360824612"</f>
        <v>10360824612</v>
      </c>
      <c r="B7364" s="10">
        <v>40.84</v>
      </c>
      <c r="C7364" s="9"/>
      <c r="D7364" s="9">
        <f t="shared" si="115"/>
        <v>40.84</v>
      </c>
      <c r="E7364" s="11"/>
      <c r="F7364" s="9"/>
    </row>
    <row r="7365" s="1" customFormat="1" customHeight="1" spans="1:6">
      <c r="A7365" s="9" t="str">
        <f>"10510824613"</f>
        <v>10510824613</v>
      </c>
      <c r="B7365" s="10">
        <v>37.72</v>
      </c>
      <c r="C7365" s="9"/>
      <c r="D7365" s="9">
        <f t="shared" si="115"/>
        <v>37.72</v>
      </c>
      <c r="E7365" s="11"/>
      <c r="F7365" s="9"/>
    </row>
    <row r="7366" s="1" customFormat="1" customHeight="1" spans="1:6">
      <c r="A7366" s="9" t="str">
        <f>"10020824614"</f>
        <v>10020824614</v>
      </c>
      <c r="B7366" s="10">
        <v>39.74</v>
      </c>
      <c r="C7366" s="9"/>
      <c r="D7366" s="9">
        <f t="shared" si="115"/>
        <v>39.74</v>
      </c>
      <c r="E7366" s="11"/>
      <c r="F7366" s="9"/>
    </row>
    <row r="7367" s="1" customFormat="1" customHeight="1" spans="1:6">
      <c r="A7367" s="9" t="str">
        <f>"10240824615"</f>
        <v>10240824615</v>
      </c>
      <c r="B7367" s="10">
        <v>35.84</v>
      </c>
      <c r="C7367" s="9"/>
      <c r="D7367" s="9">
        <f t="shared" si="115"/>
        <v>35.84</v>
      </c>
      <c r="E7367" s="11"/>
      <c r="F7367" s="9"/>
    </row>
    <row r="7368" s="1" customFormat="1" customHeight="1" spans="1:6">
      <c r="A7368" s="9" t="str">
        <f>"10060824616"</f>
        <v>10060824616</v>
      </c>
      <c r="B7368" s="10">
        <v>35.87</v>
      </c>
      <c r="C7368" s="9"/>
      <c r="D7368" s="9">
        <f t="shared" si="115"/>
        <v>35.87</v>
      </c>
      <c r="E7368" s="11"/>
      <c r="F7368" s="9"/>
    </row>
    <row r="7369" s="1" customFormat="1" customHeight="1" spans="1:6">
      <c r="A7369" s="9" t="str">
        <f>"10360824617"</f>
        <v>10360824617</v>
      </c>
      <c r="B7369" s="10">
        <v>0</v>
      </c>
      <c r="C7369" s="9"/>
      <c r="D7369" s="9">
        <f t="shared" si="115"/>
        <v>0</v>
      </c>
      <c r="E7369" s="11"/>
      <c r="F7369" s="9" t="s">
        <v>7</v>
      </c>
    </row>
    <row r="7370" s="1" customFormat="1" customHeight="1" spans="1:6">
      <c r="A7370" s="9" t="str">
        <f>"10010824618"</f>
        <v>10010824618</v>
      </c>
      <c r="B7370" s="10">
        <v>0</v>
      </c>
      <c r="C7370" s="9"/>
      <c r="D7370" s="9">
        <f t="shared" si="115"/>
        <v>0</v>
      </c>
      <c r="E7370" s="11"/>
      <c r="F7370" s="9" t="s">
        <v>7</v>
      </c>
    </row>
    <row r="7371" s="1" customFormat="1" customHeight="1" spans="1:6">
      <c r="A7371" s="9" t="str">
        <f>"10360824619"</f>
        <v>10360824619</v>
      </c>
      <c r="B7371" s="10">
        <v>0</v>
      </c>
      <c r="C7371" s="9"/>
      <c r="D7371" s="9">
        <f t="shared" si="115"/>
        <v>0</v>
      </c>
      <c r="E7371" s="11"/>
      <c r="F7371" s="9" t="s">
        <v>7</v>
      </c>
    </row>
    <row r="7372" s="1" customFormat="1" customHeight="1" spans="1:6">
      <c r="A7372" s="9" t="str">
        <f>"10300824620"</f>
        <v>10300824620</v>
      </c>
      <c r="B7372" s="10">
        <v>41.88</v>
      </c>
      <c r="C7372" s="9"/>
      <c r="D7372" s="9">
        <f t="shared" si="115"/>
        <v>41.88</v>
      </c>
      <c r="E7372" s="11"/>
      <c r="F7372" s="9"/>
    </row>
    <row r="7373" s="1" customFormat="1" customHeight="1" spans="1:6">
      <c r="A7373" s="9" t="str">
        <f>"10360824621"</f>
        <v>10360824621</v>
      </c>
      <c r="B7373" s="10">
        <v>46.27</v>
      </c>
      <c r="C7373" s="9"/>
      <c r="D7373" s="9">
        <f t="shared" si="115"/>
        <v>46.27</v>
      </c>
      <c r="E7373" s="11"/>
      <c r="F7373" s="9"/>
    </row>
    <row r="7374" s="1" customFormat="1" customHeight="1" spans="1:6">
      <c r="A7374" s="9" t="str">
        <f>"10280824622"</f>
        <v>10280824622</v>
      </c>
      <c r="B7374" s="10">
        <v>42.97</v>
      </c>
      <c r="C7374" s="9"/>
      <c r="D7374" s="9">
        <f t="shared" si="115"/>
        <v>42.97</v>
      </c>
      <c r="E7374" s="11"/>
      <c r="F7374" s="9"/>
    </row>
    <row r="7375" s="1" customFormat="1" customHeight="1" spans="1:6">
      <c r="A7375" s="9" t="str">
        <f>"10420824623"</f>
        <v>10420824623</v>
      </c>
      <c r="B7375" s="10">
        <v>0</v>
      </c>
      <c r="C7375" s="9"/>
      <c r="D7375" s="9">
        <f t="shared" si="115"/>
        <v>0</v>
      </c>
      <c r="E7375" s="11"/>
      <c r="F7375" s="9" t="s">
        <v>7</v>
      </c>
    </row>
    <row r="7376" s="1" customFormat="1" customHeight="1" spans="1:6">
      <c r="A7376" s="9" t="str">
        <f>"10050824624"</f>
        <v>10050824624</v>
      </c>
      <c r="B7376" s="10">
        <v>46.7</v>
      </c>
      <c r="C7376" s="9"/>
      <c r="D7376" s="9">
        <f t="shared" si="115"/>
        <v>46.7</v>
      </c>
      <c r="E7376" s="11"/>
      <c r="F7376" s="9"/>
    </row>
    <row r="7377" s="1" customFormat="1" customHeight="1" spans="1:6">
      <c r="A7377" s="9" t="str">
        <f>"10520824625"</f>
        <v>10520824625</v>
      </c>
      <c r="B7377" s="10">
        <v>0</v>
      </c>
      <c r="C7377" s="9"/>
      <c r="D7377" s="9">
        <f t="shared" si="115"/>
        <v>0</v>
      </c>
      <c r="E7377" s="11"/>
      <c r="F7377" s="9" t="s">
        <v>7</v>
      </c>
    </row>
    <row r="7378" s="1" customFormat="1" customHeight="1" spans="1:6">
      <c r="A7378" s="9" t="str">
        <f>"10440824626"</f>
        <v>10440824626</v>
      </c>
      <c r="B7378" s="10">
        <v>41.3</v>
      </c>
      <c r="C7378" s="9"/>
      <c r="D7378" s="9">
        <f t="shared" si="115"/>
        <v>41.3</v>
      </c>
      <c r="E7378" s="11"/>
      <c r="F7378" s="9"/>
    </row>
    <row r="7379" s="1" customFormat="1" customHeight="1" spans="1:6">
      <c r="A7379" s="9" t="str">
        <f>"10210824627"</f>
        <v>10210824627</v>
      </c>
      <c r="B7379" s="10">
        <v>37.84</v>
      </c>
      <c r="C7379" s="9"/>
      <c r="D7379" s="9">
        <f t="shared" si="115"/>
        <v>37.84</v>
      </c>
      <c r="E7379" s="11"/>
      <c r="F7379" s="9"/>
    </row>
    <row r="7380" s="1" customFormat="1" customHeight="1" spans="1:6">
      <c r="A7380" s="9" t="str">
        <f>"10360824628"</f>
        <v>10360824628</v>
      </c>
      <c r="B7380" s="10">
        <v>38.77</v>
      </c>
      <c r="C7380" s="9"/>
      <c r="D7380" s="9">
        <f t="shared" si="115"/>
        <v>38.77</v>
      </c>
      <c r="E7380" s="11"/>
      <c r="F7380" s="9"/>
    </row>
    <row r="7381" s="1" customFormat="1" customHeight="1" spans="1:6">
      <c r="A7381" s="9" t="str">
        <f>"10380824629"</f>
        <v>10380824629</v>
      </c>
      <c r="B7381" s="10">
        <v>46.16</v>
      </c>
      <c r="C7381" s="9"/>
      <c r="D7381" s="9">
        <f t="shared" si="115"/>
        <v>46.16</v>
      </c>
      <c r="E7381" s="11"/>
      <c r="F7381" s="9"/>
    </row>
    <row r="7382" s="1" customFormat="1" customHeight="1" spans="1:6">
      <c r="A7382" s="9" t="str">
        <f>"10160824630"</f>
        <v>10160824630</v>
      </c>
      <c r="B7382" s="10">
        <v>45.39</v>
      </c>
      <c r="C7382" s="9"/>
      <c r="D7382" s="9">
        <f t="shared" si="115"/>
        <v>45.39</v>
      </c>
      <c r="E7382" s="11"/>
      <c r="F7382" s="9"/>
    </row>
    <row r="7383" s="1" customFormat="1" customHeight="1" spans="1:6">
      <c r="A7383" s="9" t="str">
        <f>"10070824701"</f>
        <v>10070824701</v>
      </c>
      <c r="B7383" s="10">
        <v>47.51</v>
      </c>
      <c r="C7383" s="9"/>
      <c r="D7383" s="9">
        <f t="shared" si="115"/>
        <v>47.51</v>
      </c>
      <c r="E7383" s="11"/>
      <c r="F7383" s="9"/>
    </row>
    <row r="7384" s="1" customFormat="1" customHeight="1" spans="1:6">
      <c r="A7384" s="9" t="str">
        <f>"10530824702"</f>
        <v>10530824702</v>
      </c>
      <c r="B7384" s="10">
        <v>37.24</v>
      </c>
      <c r="C7384" s="9"/>
      <c r="D7384" s="9">
        <f t="shared" si="115"/>
        <v>37.24</v>
      </c>
      <c r="E7384" s="11"/>
      <c r="F7384" s="9"/>
    </row>
    <row r="7385" s="1" customFormat="1" customHeight="1" spans="1:6">
      <c r="A7385" s="9" t="str">
        <f>"10230824703"</f>
        <v>10230824703</v>
      </c>
      <c r="B7385" s="10">
        <v>0</v>
      </c>
      <c r="C7385" s="9"/>
      <c r="D7385" s="9">
        <f t="shared" si="115"/>
        <v>0</v>
      </c>
      <c r="E7385" s="11"/>
      <c r="F7385" s="9" t="s">
        <v>7</v>
      </c>
    </row>
    <row r="7386" s="1" customFormat="1" customHeight="1" spans="1:6">
      <c r="A7386" s="9" t="str">
        <f>"10090824704"</f>
        <v>10090824704</v>
      </c>
      <c r="B7386" s="10">
        <v>38.73</v>
      </c>
      <c r="C7386" s="9"/>
      <c r="D7386" s="9">
        <f t="shared" si="115"/>
        <v>38.73</v>
      </c>
      <c r="E7386" s="11"/>
      <c r="F7386" s="9"/>
    </row>
    <row r="7387" s="1" customFormat="1" customHeight="1" spans="1:6">
      <c r="A7387" s="9" t="str">
        <f>"10130824705"</f>
        <v>10130824705</v>
      </c>
      <c r="B7387" s="10">
        <v>0</v>
      </c>
      <c r="C7387" s="9"/>
      <c r="D7387" s="9">
        <f t="shared" si="115"/>
        <v>0</v>
      </c>
      <c r="E7387" s="11"/>
      <c r="F7387" s="9" t="s">
        <v>7</v>
      </c>
    </row>
    <row r="7388" s="1" customFormat="1" customHeight="1" spans="1:6">
      <c r="A7388" s="9" t="str">
        <f>"10370824706"</f>
        <v>10370824706</v>
      </c>
      <c r="B7388" s="10">
        <v>41.2</v>
      </c>
      <c r="C7388" s="9"/>
      <c r="D7388" s="9">
        <f t="shared" si="115"/>
        <v>41.2</v>
      </c>
      <c r="E7388" s="11"/>
      <c r="F7388" s="9"/>
    </row>
    <row r="7389" s="1" customFormat="1" customHeight="1" spans="1:6">
      <c r="A7389" s="9" t="str">
        <f>"10280824707"</f>
        <v>10280824707</v>
      </c>
      <c r="B7389" s="10">
        <v>37.12</v>
      </c>
      <c r="C7389" s="9"/>
      <c r="D7389" s="9">
        <f t="shared" si="115"/>
        <v>37.12</v>
      </c>
      <c r="E7389" s="11"/>
      <c r="F7389" s="9"/>
    </row>
    <row r="7390" s="1" customFormat="1" customHeight="1" spans="1:6">
      <c r="A7390" s="9" t="str">
        <f>"10050824708"</f>
        <v>10050824708</v>
      </c>
      <c r="B7390" s="10">
        <v>0</v>
      </c>
      <c r="C7390" s="9"/>
      <c r="D7390" s="9">
        <f t="shared" si="115"/>
        <v>0</v>
      </c>
      <c r="E7390" s="11"/>
      <c r="F7390" s="9" t="s">
        <v>7</v>
      </c>
    </row>
    <row r="7391" s="1" customFormat="1" customHeight="1" spans="1:6">
      <c r="A7391" s="9" t="str">
        <f>"10340824709"</f>
        <v>10340824709</v>
      </c>
      <c r="B7391" s="10">
        <v>33.65</v>
      </c>
      <c r="C7391" s="9"/>
      <c r="D7391" s="9">
        <f t="shared" si="115"/>
        <v>33.65</v>
      </c>
      <c r="E7391" s="11"/>
      <c r="F7391" s="9"/>
    </row>
    <row r="7392" s="1" customFormat="1" customHeight="1" spans="1:6">
      <c r="A7392" s="9" t="str">
        <f>"10330824710"</f>
        <v>10330824710</v>
      </c>
      <c r="B7392" s="10">
        <v>31.55</v>
      </c>
      <c r="C7392" s="9"/>
      <c r="D7392" s="9">
        <f t="shared" si="115"/>
        <v>31.55</v>
      </c>
      <c r="E7392" s="11"/>
      <c r="F7392" s="9"/>
    </row>
    <row r="7393" s="1" customFormat="1" customHeight="1" spans="1:6">
      <c r="A7393" s="9" t="str">
        <f>"10320824711"</f>
        <v>10320824711</v>
      </c>
      <c r="B7393" s="10">
        <v>54.26</v>
      </c>
      <c r="C7393" s="9"/>
      <c r="D7393" s="9">
        <f t="shared" si="115"/>
        <v>54.26</v>
      </c>
      <c r="E7393" s="11"/>
      <c r="F7393" s="9"/>
    </row>
    <row r="7394" s="1" customFormat="1" customHeight="1" spans="1:6">
      <c r="A7394" s="9" t="str">
        <f>"10360824712"</f>
        <v>10360824712</v>
      </c>
      <c r="B7394" s="10">
        <v>37.01</v>
      </c>
      <c r="C7394" s="9"/>
      <c r="D7394" s="9">
        <f t="shared" si="115"/>
        <v>37.01</v>
      </c>
      <c r="E7394" s="11"/>
      <c r="F7394" s="9"/>
    </row>
    <row r="7395" s="1" customFormat="1" customHeight="1" spans="1:6">
      <c r="A7395" s="9" t="str">
        <f>"10150824713"</f>
        <v>10150824713</v>
      </c>
      <c r="B7395" s="10">
        <v>0</v>
      </c>
      <c r="C7395" s="9"/>
      <c r="D7395" s="9">
        <f t="shared" si="115"/>
        <v>0</v>
      </c>
      <c r="E7395" s="11"/>
      <c r="F7395" s="9" t="s">
        <v>7</v>
      </c>
    </row>
    <row r="7396" s="1" customFormat="1" customHeight="1" spans="1:6">
      <c r="A7396" s="9" t="str">
        <f>"10360824714"</f>
        <v>10360824714</v>
      </c>
      <c r="B7396" s="10">
        <v>0</v>
      </c>
      <c r="C7396" s="9"/>
      <c r="D7396" s="9">
        <f t="shared" si="115"/>
        <v>0</v>
      </c>
      <c r="E7396" s="11"/>
      <c r="F7396" s="9" t="s">
        <v>7</v>
      </c>
    </row>
    <row r="7397" s="1" customFormat="1" customHeight="1" spans="1:6">
      <c r="A7397" s="9" t="str">
        <f>"10360824715"</f>
        <v>10360824715</v>
      </c>
      <c r="B7397" s="10">
        <v>0</v>
      </c>
      <c r="C7397" s="9"/>
      <c r="D7397" s="9">
        <f t="shared" si="115"/>
        <v>0</v>
      </c>
      <c r="E7397" s="11"/>
      <c r="F7397" s="9" t="s">
        <v>7</v>
      </c>
    </row>
    <row r="7398" s="1" customFormat="1" customHeight="1" spans="1:6">
      <c r="A7398" s="9" t="str">
        <f>"10130824716"</f>
        <v>10130824716</v>
      </c>
      <c r="B7398" s="10">
        <v>42.6</v>
      </c>
      <c r="C7398" s="9"/>
      <c r="D7398" s="9">
        <f t="shared" si="115"/>
        <v>42.6</v>
      </c>
      <c r="E7398" s="11"/>
      <c r="F7398" s="9"/>
    </row>
    <row r="7399" s="1" customFormat="1" customHeight="1" spans="1:6">
      <c r="A7399" s="9" t="str">
        <f>"10360824717"</f>
        <v>10360824717</v>
      </c>
      <c r="B7399" s="10">
        <v>0</v>
      </c>
      <c r="C7399" s="9"/>
      <c r="D7399" s="9">
        <f t="shared" si="115"/>
        <v>0</v>
      </c>
      <c r="E7399" s="11"/>
      <c r="F7399" s="9" t="s">
        <v>7</v>
      </c>
    </row>
    <row r="7400" s="1" customFormat="1" customHeight="1" spans="1:6">
      <c r="A7400" s="9" t="str">
        <f>"10090824718"</f>
        <v>10090824718</v>
      </c>
      <c r="B7400" s="10">
        <v>0</v>
      </c>
      <c r="C7400" s="9"/>
      <c r="D7400" s="9">
        <f t="shared" si="115"/>
        <v>0</v>
      </c>
      <c r="E7400" s="11"/>
      <c r="F7400" s="9" t="s">
        <v>7</v>
      </c>
    </row>
    <row r="7401" s="1" customFormat="1" customHeight="1" spans="1:6">
      <c r="A7401" s="9" t="str">
        <f>"10190824719"</f>
        <v>10190824719</v>
      </c>
      <c r="B7401" s="10">
        <v>38.04</v>
      </c>
      <c r="C7401" s="9"/>
      <c r="D7401" s="9">
        <f t="shared" si="115"/>
        <v>38.04</v>
      </c>
      <c r="E7401" s="11"/>
      <c r="F7401" s="9"/>
    </row>
    <row r="7402" s="1" customFormat="1" customHeight="1" spans="1:6">
      <c r="A7402" s="9" t="str">
        <f>"10440824720"</f>
        <v>10440824720</v>
      </c>
      <c r="B7402" s="10">
        <v>35.31</v>
      </c>
      <c r="C7402" s="9"/>
      <c r="D7402" s="9">
        <f t="shared" si="115"/>
        <v>35.31</v>
      </c>
      <c r="E7402" s="11"/>
      <c r="F7402" s="9"/>
    </row>
    <row r="7403" s="1" customFormat="1" customHeight="1" spans="1:6">
      <c r="A7403" s="9" t="str">
        <f>"10110824721"</f>
        <v>10110824721</v>
      </c>
      <c r="B7403" s="10">
        <v>0</v>
      </c>
      <c r="C7403" s="9"/>
      <c r="D7403" s="9">
        <f t="shared" si="115"/>
        <v>0</v>
      </c>
      <c r="E7403" s="11"/>
      <c r="F7403" s="9" t="s">
        <v>7</v>
      </c>
    </row>
    <row r="7404" s="1" customFormat="1" customHeight="1" spans="1:6">
      <c r="A7404" s="9" t="str">
        <f>"10100824722"</f>
        <v>10100824722</v>
      </c>
      <c r="B7404" s="10">
        <v>0</v>
      </c>
      <c r="C7404" s="9"/>
      <c r="D7404" s="9">
        <f t="shared" si="115"/>
        <v>0</v>
      </c>
      <c r="E7404" s="11"/>
      <c r="F7404" s="9" t="s">
        <v>7</v>
      </c>
    </row>
    <row r="7405" s="1" customFormat="1" customHeight="1" spans="1:6">
      <c r="A7405" s="9" t="str">
        <f>"10080824723"</f>
        <v>10080824723</v>
      </c>
      <c r="B7405" s="10">
        <v>37.15</v>
      </c>
      <c r="C7405" s="9"/>
      <c r="D7405" s="9">
        <f t="shared" si="115"/>
        <v>37.15</v>
      </c>
      <c r="E7405" s="11"/>
      <c r="F7405" s="9"/>
    </row>
    <row r="7406" s="1" customFormat="1" customHeight="1" spans="1:6">
      <c r="A7406" s="9" t="str">
        <f>"10230824724"</f>
        <v>10230824724</v>
      </c>
      <c r="B7406" s="10">
        <v>42.97</v>
      </c>
      <c r="C7406" s="9"/>
      <c r="D7406" s="9">
        <f t="shared" si="115"/>
        <v>42.97</v>
      </c>
      <c r="E7406" s="11"/>
      <c r="F7406" s="9"/>
    </row>
    <row r="7407" s="1" customFormat="1" customHeight="1" spans="1:6">
      <c r="A7407" s="9" t="str">
        <f>"10360824725"</f>
        <v>10360824725</v>
      </c>
      <c r="B7407" s="10">
        <v>0</v>
      </c>
      <c r="C7407" s="9"/>
      <c r="D7407" s="9">
        <f t="shared" si="115"/>
        <v>0</v>
      </c>
      <c r="E7407" s="11"/>
      <c r="F7407" s="9" t="s">
        <v>7</v>
      </c>
    </row>
    <row r="7408" s="1" customFormat="1" customHeight="1" spans="1:6">
      <c r="A7408" s="9" t="str">
        <f>"10410824726"</f>
        <v>10410824726</v>
      </c>
      <c r="B7408" s="10">
        <v>43.02</v>
      </c>
      <c r="C7408" s="9"/>
      <c r="D7408" s="9">
        <f t="shared" si="115"/>
        <v>43.02</v>
      </c>
      <c r="E7408" s="11"/>
      <c r="F7408" s="9"/>
    </row>
    <row r="7409" s="1" customFormat="1" customHeight="1" spans="1:6">
      <c r="A7409" s="9" t="str">
        <f>"10180824727"</f>
        <v>10180824727</v>
      </c>
      <c r="B7409" s="10">
        <v>29.86</v>
      </c>
      <c r="C7409" s="9"/>
      <c r="D7409" s="9">
        <f t="shared" si="115"/>
        <v>29.86</v>
      </c>
      <c r="E7409" s="11"/>
      <c r="F7409" s="9"/>
    </row>
    <row r="7410" s="1" customFormat="1" customHeight="1" spans="1:6">
      <c r="A7410" s="9" t="str">
        <f>"10530824728"</f>
        <v>10530824728</v>
      </c>
      <c r="B7410" s="10">
        <v>85.35</v>
      </c>
      <c r="C7410" s="9"/>
      <c r="D7410" s="9">
        <f t="shared" si="115"/>
        <v>85.35</v>
      </c>
      <c r="E7410" s="11"/>
      <c r="F7410" s="9"/>
    </row>
    <row r="7411" s="1" customFormat="1" customHeight="1" spans="1:6">
      <c r="A7411" s="9" t="str">
        <f>"10360824729"</f>
        <v>10360824729</v>
      </c>
      <c r="B7411" s="10">
        <v>43.54</v>
      </c>
      <c r="C7411" s="9"/>
      <c r="D7411" s="9">
        <f t="shared" si="115"/>
        <v>43.54</v>
      </c>
      <c r="E7411" s="11"/>
      <c r="F7411" s="9"/>
    </row>
    <row r="7412" s="1" customFormat="1" customHeight="1" spans="1:6">
      <c r="A7412" s="9" t="str">
        <f>"10210824730"</f>
        <v>10210824730</v>
      </c>
      <c r="B7412" s="10">
        <v>36.91</v>
      </c>
      <c r="C7412" s="9"/>
      <c r="D7412" s="9">
        <f t="shared" si="115"/>
        <v>36.91</v>
      </c>
      <c r="E7412" s="11"/>
      <c r="F7412" s="9"/>
    </row>
    <row r="7413" s="1" customFormat="1" customHeight="1" spans="1:6">
      <c r="A7413" s="9" t="str">
        <f>"10360824801"</f>
        <v>10360824801</v>
      </c>
      <c r="B7413" s="10">
        <v>33.28</v>
      </c>
      <c r="C7413" s="9"/>
      <c r="D7413" s="9">
        <f t="shared" si="115"/>
        <v>33.28</v>
      </c>
      <c r="E7413" s="11"/>
      <c r="F7413" s="9"/>
    </row>
    <row r="7414" s="1" customFormat="1" customHeight="1" spans="1:6">
      <c r="A7414" s="9" t="str">
        <f>"10060824802"</f>
        <v>10060824802</v>
      </c>
      <c r="B7414" s="10">
        <v>42.34</v>
      </c>
      <c r="C7414" s="9"/>
      <c r="D7414" s="9">
        <f t="shared" si="115"/>
        <v>42.34</v>
      </c>
      <c r="E7414" s="11"/>
      <c r="F7414" s="9"/>
    </row>
    <row r="7415" s="1" customFormat="1" customHeight="1" spans="1:6">
      <c r="A7415" s="9" t="str">
        <f>"10300824803"</f>
        <v>10300824803</v>
      </c>
      <c r="B7415" s="10">
        <v>0</v>
      </c>
      <c r="C7415" s="9"/>
      <c r="D7415" s="9">
        <f t="shared" si="115"/>
        <v>0</v>
      </c>
      <c r="E7415" s="11"/>
      <c r="F7415" s="9" t="s">
        <v>7</v>
      </c>
    </row>
    <row r="7416" s="1" customFormat="1" customHeight="1" spans="1:6">
      <c r="A7416" s="9" t="str">
        <f>"10300824804"</f>
        <v>10300824804</v>
      </c>
      <c r="B7416" s="10">
        <v>40.95</v>
      </c>
      <c r="C7416" s="9">
        <v>10</v>
      </c>
      <c r="D7416" s="9">
        <f t="shared" si="115"/>
        <v>50.95</v>
      </c>
      <c r="E7416" s="12" t="s">
        <v>8</v>
      </c>
      <c r="F7416" s="9"/>
    </row>
    <row r="7417" s="1" customFormat="1" customHeight="1" spans="1:6">
      <c r="A7417" s="9" t="str">
        <f>"10060824805"</f>
        <v>10060824805</v>
      </c>
      <c r="B7417" s="10">
        <v>41.51</v>
      </c>
      <c r="C7417" s="9"/>
      <c r="D7417" s="9">
        <f t="shared" si="115"/>
        <v>41.51</v>
      </c>
      <c r="E7417" s="11"/>
      <c r="F7417" s="9"/>
    </row>
    <row r="7418" s="1" customFormat="1" customHeight="1" spans="1:6">
      <c r="A7418" s="9" t="str">
        <f>"10020824806"</f>
        <v>10020824806</v>
      </c>
      <c r="B7418" s="10">
        <v>43.19</v>
      </c>
      <c r="C7418" s="9"/>
      <c r="D7418" s="9">
        <f t="shared" si="115"/>
        <v>43.19</v>
      </c>
      <c r="E7418" s="11"/>
      <c r="F7418" s="9"/>
    </row>
    <row r="7419" s="1" customFormat="1" customHeight="1" spans="1:6">
      <c r="A7419" s="9" t="str">
        <f>"10300824807"</f>
        <v>10300824807</v>
      </c>
      <c r="B7419" s="10">
        <v>42.92</v>
      </c>
      <c r="C7419" s="9"/>
      <c r="D7419" s="9">
        <f t="shared" si="115"/>
        <v>42.92</v>
      </c>
      <c r="E7419" s="11"/>
      <c r="F7419" s="9"/>
    </row>
    <row r="7420" s="1" customFormat="1" customHeight="1" spans="1:6">
      <c r="A7420" s="9" t="str">
        <f>"10440824808"</f>
        <v>10440824808</v>
      </c>
      <c r="B7420" s="10">
        <v>37.31</v>
      </c>
      <c r="C7420" s="9"/>
      <c r="D7420" s="9">
        <f t="shared" si="115"/>
        <v>37.31</v>
      </c>
      <c r="E7420" s="11"/>
      <c r="F7420" s="9"/>
    </row>
    <row r="7421" s="1" customFormat="1" customHeight="1" spans="1:6">
      <c r="A7421" s="9" t="str">
        <f>"10330824809"</f>
        <v>10330824809</v>
      </c>
      <c r="B7421" s="10">
        <v>33</v>
      </c>
      <c r="C7421" s="9"/>
      <c r="D7421" s="9">
        <f t="shared" si="115"/>
        <v>33</v>
      </c>
      <c r="E7421" s="11"/>
      <c r="F7421" s="9"/>
    </row>
    <row r="7422" s="1" customFormat="1" customHeight="1" spans="1:6">
      <c r="A7422" s="9" t="str">
        <f>"10330824810"</f>
        <v>10330824810</v>
      </c>
      <c r="B7422" s="10">
        <v>42.04</v>
      </c>
      <c r="C7422" s="9"/>
      <c r="D7422" s="9">
        <f t="shared" si="115"/>
        <v>42.04</v>
      </c>
      <c r="E7422" s="11"/>
      <c r="F7422" s="9"/>
    </row>
    <row r="7423" s="1" customFormat="1" customHeight="1" spans="1:6">
      <c r="A7423" s="9" t="str">
        <f>"10140824811"</f>
        <v>10140824811</v>
      </c>
      <c r="B7423" s="10">
        <v>43.9</v>
      </c>
      <c r="C7423" s="9"/>
      <c r="D7423" s="9">
        <f t="shared" si="115"/>
        <v>43.9</v>
      </c>
      <c r="E7423" s="11"/>
      <c r="F7423" s="9"/>
    </row>
    <row r="7424" s="1" customFormat="1" customHeight="1" spans="1:6">
      <c r="A7424" s="9" t="str">
        <f>"10060824812"</f>
        <v>10060824812</v>
      </c>
      <c r="B7424" s="10">
        <v>39.8</v>
      </c>
      <c r="C7424" s="9"/>
      <c r="D7424" s="9">
        <f t="shared" si="115"/>
        <v>39.8</v>
      </c>
      <c r="E7424" s="11"/>
      <c r="F7424" s="9"/>
    </row>
    <row r="7425" s="1" customFormat="1" customHeight="1" spans="1:6">
      <c r="A7425" s="9" t="str">
        <f>"10080824813"</f>
        <v>10080824813</v>
      </c>
      <c r="B7425" s="10">
        <v>0</v>
      </c>
      <c r="C7425" s="9"/>
      <c r="D7425" s="9">
        <f t="shared" si="115"/>
        <v>0</v>
      </c>
      <c r="E7425" s="11"/>
      <c r="F7425" s="9" t="s">
        <v>7</v>
      </c>
    </row>
    <row r="7426" s="1" customFormat="1" customHeight="1" spans="1:6">
      <c r="A7426" s="9" t="str">
        <f>"10130824814"</f>
        <v>10130824814</v>
      </c>
      <c r="B7426" s="10">
        <v>0</v>
      </c>
      <c r="C7426" s="9"/>
      <c r="D7426" s="9">
        <f t="shared" si="115"/>
        <v>0</v>
      </c>
      <c r="E7426" s="11"/>
      <c r="F7426" s="9" t="s">
        <v>7</v>
      </c>
    </row>
    <row r="7427" s="1" customFormat="1" customHeight="1" spans="1:6">
      <c r="A7427" s="9" t="str">
        <f>"10320824815"</f>
        <v>10320824815</v>
      </c>
      <c r="B7427" s="10">
        <v>0</v>
      </c>
      <c r="C7427" s="9"/>
      <c r="D7427" s="9">
        <f t="shared" ref="D7427:D7490" si="116">SUM(B7427:C7427)</f>
        <v>0</v>
      </c>
      <c r="E7427" s="11"/>
      <c r="F7427" s="9" t="s">
        <v>7</v>
      </c>
    </row>
    <row r="7428" s="1" customFormat="1" customHeight="1" spans="1:6">
      <c r="A7428" s="9" t="str">
        <f>"10130824816"</f>
        <v>10130824816</v>
      </c>
      <c r="B7428" s="10">
        <v>48.16</v>
      </c>
      <c r="C7428" s="9"/>
      <c r="D7428" s="9">
        <f t="shared" si="116"/>
        <v>48.16</v>
      </c>
      <c r="E7428" s="11"/>
      <c r="F7428" s="9"/>
    </row>
    <row r="7429" s="1" customFormat="1" customHeight="1" spans="1:6">
      <c r="A7429" s="9" t="str">
        <f>"10530824817"</f>
        <v>10530824817</v>
      </c>
      <c r="B7429" s="10">
        <v>32.14</v>
      </c>
      <c r="C7429" s="9"/>
      <c r="D7429" s="9">
        <f t="shared" si="116"/>
        <v>32.14</v>
      </c>
      <c r="E7429" s="11"/>
      <c r="F7429" s="9"/>
    </row>
    <row r="7430" s="1" customFormat="1" customHeight="1" spans="1:6">
      <c r="A7430" s="9" t="str">
        <f>"20270824818"</f>
        <v>20270824818</v>
      </c>
      <c r="B7430" s="10">
        <v>52.09</v>
      </c>
      <c r="C7430" s="9"/>
      <c r="D7430" s="9">
        <f t="shared" si="116"/>
        <v>52.09</v>
      </c>
      <c r="E7430" s="11"/>
      <c r="F7430" s="9"/>
    </row>
    <row r="7431" s="1" customFormat="1" customHeight="1" spans="1:6">
      <c r="A7431" s="9" t="str">
        <f>"10110824819"</f>
        <v>10110824819</v>
      </c>
      <c r="B7431" s="10">
        <v>36.77</v>
      </c>
      <c r="C7431" s="9"/>
      <c r="D7431" s="9">
        <f t="shared" si="116"/>
        <v>36.77</v>
      </c>
      <c r="E7431" s="11"/>
      <c r="F7431" s="9"/>
    </row>
    <row r="7432" s="1" customFormat="1" customHeight="1" spans="1:6">
      <c r="A7432" s="9" t="str">
        <f>"10360824820"</f>
        <v>10360824820</v>
      </c>
      <c r="B7432" s="10">
        <v>0</v>
      </c>
      <c r="C7432" s="9"/>
      <c r="D7432" s="9">
        <f t="shared" si="116"/>
        <v>0</v>
      </c>
      <c r="E7432" s="11"/>
      <c r="F7432" s="9" t="s">
        <v>7</v>
      </c>
    </row>
    <row r="7433" s="1" customFormat="1" customHeight="1" spans="1:6">
      <c r="A7433" s="9" t="str">
        <f>"10400824821"</f>
        <v>10400824821</v>
      </c>
      <c r="B7433" s="10">
        <v>0</v>
      </c>
      <c r="C7433" s="9"/>
      <c r="D7433" s="9">
        <f t="shared" si="116"/>
        <v>0</v>
      </c>
      <c r="E7433" s="11"/>
      <c r="F7433" s="9" t="s">
        <v>7</v>
      </c>
    </row>
    <row r="7434" s="1" customFormat="1" customHeight="1" spans="1:6">
      <c r="A7434" s="9" t="str">
        <f>"10130824822"</f>
        <v>10130824822</v>
      </c>
      <c r="B7434" s="10">
        <v>40.75</v>
      </c>
      <c r="C7434" s="9"/>
      <c r="D7434" s="9">
        <f t="shared" si="116"/>
        <v>40.75</v>
      </c>
      <c r="E7434" s="11"/>
      <c r="F7434" s="9"/>
    </row>
    <row r="7435" s="1" customFormat="1" customHeight="1" spans="1:6">
      <c r="A7435" s="9" t="str">
        <f>"10280824823"</f>
        <v>10280824823</v>
      </c>
      <c r="B7435" s="10">
        <v>31.09</v>
      </c>
      <c r="C7435" s="9"/>
      <c r="D7435" s="9">
        <f t="shared" si="116"/>
        <v>31.09</v>
      </c>
      <c r="E7435" s="11"/>
      <c r="F7435" s="9"/>
    </row>
    <row r="7436" s="1" customFormat="1" customHeight="1" spans="1:6">
      <c r="A7436" s="9" t="str">
        <f>"10240824824"</f>
        <v>10240824824</v>
      </c>
      <c r="B7436" s="10">
        <v>45.55</v>
      </c>
      <c r="C7436" s="9"/>
      <c r="D7436" s="9">
        <f t="shared" si="116"/>
        <v>45.55</v>
      </c>
      <c r="E7436" s="11"/>
      <c r="F7436" s="9"/>
    </row>
    <row r="7437" s="1" customFormat="1" customHeight="1" spans="1:6">
      <c r="A7437" s="9" t="str">
        <f>"10200824825"</f>
        <v>10200824825</v>
      </c>
      <c r="B7437" s="10">
        <v>43.56</v>
      </c>
      <c r="C7437" s="9"/>
      <c r="D7437" s="9">
        <f t="shared" si="116"/>
        <v>43.56</v>
      </c>
      <c r="E7437" s="11"/>
      <c r="F7437" s="9"/>
    </row>
    <row r="7438" s="1" customFormat="1" customHeight="1" spans="1:6">
      <c r="A7438" s="9" t="str">
        <f>"10360824826"</f>
        <v>10360824826</v>
      </c>
      <c r="B7438" s="10">
        <v>25.45</v>
      </c>
      <c r="C7438" s="9"/>
      <c r="D7438" s="9">
        <f t="shared" si="116"/>
        <v>25.45</v>
      </c>
      <c r="E7438" s="11"/>
      <c r="F7438" s="9"/>
    </row>
    <row r="7439" s="1" customFormat="1" customHeight="1" spans="1:6">
      <c r="A7439" s="9" t="str">
        <f>"10510824827"</f>
        <v>10510824827</v>
      </c>
      <c r="B7439" s="10">
        <v>32.41</v>
      </c>
      <c r="C7439" s="9"/>
      <c r="D7439" s="9">
        <f t="shared" si="116"/>
        <v>32.41</v>
      </c>
      <c r="E7439" s="11"/>
      <c r="F7439" s="9"/>
    </row>
    <row r="7440" s="1" customFormat="1" customHeight="1" spans="1:6">
      <c r="A7440" s="9" t="str">
        <f>"10270824828"</f>
        <v>10270824828</v>
      </c>
      <c r="B7440" s="10">
        <v>39.01</v>
      </c>
      <c r="C7440" s="9"/>
      <c r="D7440" s="9">
        <f t="shared" si="116"/>
        <v>39.01</v>
      </c>
      <c r="E7440" s="11"/>
      <c r="F7440" s="9"/>
    </row>
    <row r="7441" s="1" customFormat="1" customHeight="1" spans="1:6">
      <c r="A7441" s="9" t="str">
        <f>"10100824829"</f>
        <v>10100824829</v>
      </c>
      <c r="B7441" s="10">
        <v>40.4</v>
      </c>
      <c r="C7441" s="9"/>
      <c r="D7441" s="9">
        <f t="shared" si="116"/>
        <v>40.4</v>
      </c>
      <c r="E7441" s="11"/>
      <c r="F7441" s="9"/>
    </row>
    <row r="7442" s="1" customFormat="1" customHeight="1" spans="1:6">
      <c r="A7442" s="9" t="str">
        <f>"10490824830"</f>
        <v>10490824830</v>
      </c>
      <c r="B7442" s="10">
        <v>41.25</v>
      </c>
      <c r="C7442" s="9"/>
      <c r="D7442" s="9">
        <f t="shared" si="116"/>
        <v>41.25</v>
      </c>
      <c r="E7442" s="11"/>
      <c r="F7442" s="9"/>
    </row>
    <row r="7443" s="1" customFormat="1" customHeight="1" spans="1:6">
      <c r="A7443" s="9" t="str">
        <f>"10230824901"</f>
        <v>10230824901</v>
      </c>
      <c r="B7443" s="10">
        <v>44.35</v>
      </c>
      <c r="C7443" s="9"/>
      <c r="D7443" s="9">
        <f t="shared" si="116"/>
        <v>44.35</v>
      </c>
      <c r="E7443" s="11"/>
      <c r="F7443" s="9"/>
    </row>
    <row r="7444" s="1" customFormat="1" customHeight="1" spans="1:6">
      <c r="A7444" s="9" t="str">
        <f>"10210824902"</f>
        <v>10210824902</v>
      </c>
      <c r="B7444" s="10">
        <v>39.56</v>
      </c>
      <c r="C7444" s="9"/>
      <c r="D7444" s="9">
        <f t="shared" si="116"/>
        <v>39.56</v>
      </c>
      <c r="E7444" s="11"/>
      <c r="F7444" s="9"/>
    </row>
    <row r="7445" s="1" customFormat="1" customHeight="1" spans="1:6">
      <c r="A7445" s="9" t="str">
        <f>"10360824903"</f>
        <v>10360824903</v>
      </c>
      <c r="B7445" s="10">
        <v>30.78</v>
      </c>
      <c r="C7445" s="9"/>
      <c r="D7445" s="9">
        <f t="shared" si="116"/>
        <v>30.78</v>
      </c>
      <c r="E7445" s="11"/>
      <c r="F7445" s="9"/>
    </row>
    <row r="7446" s="1" customFormat="1" customHeight="1" spans="1:6">
      <c r="A7446" s="9" t="str">
        <f>"10490824904"</f>
        <v>10490824904</v>
      </c>
      <c r="B7446" s="10">
        <v>0</v>
      </c>
      <c r="C7446" s="9"/>
      <c r="D7446" s="9">
        <f t="shared" si="116"/>
        <v>0</v>
      </c>
      <c r="E7446" s="11"/>
      <c r="F7446" s="9" t="s">
        <v>7</v>
      </c>
    </row>
    <row r="7447" s="1" customFormat="1" customHeight="1" spans="1:6">
      <c r="A7447" s="9" t="str">
        <f>"10360824905"</f>
        <v>10360824905</v>
      </c>
      <c r="B7447" s="10">
        <v>32.27</v>
      </c>
      <c r="C7447" s="9"/>
      <c r="D7447" s="9">
        <f t="shared" si="116"/>
        <v>32.27</v>
      </c>
      <c r="E7447" s="11"/>
      <c r="F7447" s="9"/>
    </row>
    <row r="7448" s="1" customFormat="1" customHeight="1" spans="1:6">
      <c r="A7448" s="9" t="str">
        <f>"10360824906"</f>
        <v>10360824906</v>
      </c>
      <c r="B7448" s="10">
        <v>39.79</v>
      </c>
      <c r="C7448" s="9"/>
      <c r="D7448" s="9">
        <f t="shared" si="116"/>
        <v>39.79</v>
      </c>
      <c r="E7448" s="11"/>
      <c r="F7448" s="9"/>
    </row>
    <row r="7449" s="1" customFormat="1" customHeight="1" spans="1:6">
      <c r="A7449" s="9" t="str">
        <f>"10270824907"</f>
        <v>10270824907</v>
      </c>
      <c r="B7449" s="10">
        <v>40.33</v>
      </c>
      <c r="C7449" s="9"/>
      <c r="D7449" s="9">
        <f t="shared" si="116"/>
        <v>40.33</v>
      </c>
      <c r="E7449" s="11"/>
      <c r="F7449" s="9"/>
    </row>
    <row r="7450" s="1" customFormat="1" customHeight="1" spans="1:6">
      <c r="A7450" s="9" t="str">
        <f>"10240824908"</f>
        <v>10240824908</v>
      </c>
      <c r="B7450" s="10">
        <v>35.99</v>
      </c>
      <c r="C7450" s="9"/>
      <c r="D7450" s="9">
        <f t="shared" si="116"/>
        <v>35.99</v>
      </c>
      <c r="E7450" s="11"/>
      <c r="F7450" s="9"/>
    </row>
    <row r="7451" s="1" customFormat="1" customHeight="1" spans="1:6">
      <c r="A7451" s="9" t="str">
        <f>"10360824909"</f>
        <v>10360824909</v>
      </c>
      <c r="B7451" s="10">
        <v>37.92</v>
      </c>
      <c r="C7451" s="9"/>
      <c r="D7451" s="9">
        <f t="shared" si="116"/>
        <v>37.92</v>
      </c>
      <c r="E7451" s="11"/>
      <c r="F7451" s="9"/>
    </row>
    <row r="7452" s="1" customFormat="1" customHeight="1" spans="1:6">
      <c r="A7452" s="9" t="str">
        <f>"10090824910"</f>
        <v>10090824910</v>
      </c>
      <c r="B7452" s="10">
        <v>46.95</v>
      </c>
      <c r="C7452" s="9"/>
      <c r="D7452" s="9">
        <f t="shared" si="116"/>
        <v>46.95</v>
      </c>
      <c r="E7452" s="11"/>
      <c r="F7452" s="9"/>
    </row>
    <row r="7453" s="1" customFormat="1" customHeight="1" spans="1:6">
      <c r="A7453" s="9" t="str">
        <f>"10360824911"</f>
        <v>10360824911</v>
      </c>
      <c r="B7453" s="10">
        <v>0</v>
      </c>
      <c r="C7453" s="9"/>
      <c r="D7453" s="9">
        <f t="shared" si="116"/>
        <v>0</v>
      </c>
      <c r="E7453" s="11"/>
      <c r="F7453" s="9" t="s">
        <v>7</v>
      </c>
    </row>
    <row r="7454" s="1" customFormat="1" customHeight="1" spans="1:6">
      <c r="A7454" s="9" t="str">
        <f>"10300824912"</f>
        <v>10300824912</v>
      </c>
      <c r="B7454" s="10">
        <v>37.13</v>
      </c>
      <c r="C7454" s="9"/>
      <c r="D7454" s="9">
        <f t="shared" si="116"/>
        <v>37.13</v>
      </c>
      <c r="E7454" s="11"/>
      <c r="F7454" s="9"/>
    </row>
    <row r="7455" s="1" customFormat="1" customHeight="1" spans="1:6">
      <c r="A7455" s="9" t="str">
        <f>"10510824913"</f>
        <v>10510824913</v>
      </c>
      <c r="B7455" s="10">
        <v>39.76</v>
      </c>
      <c r="C7455" s="9"/>
      <c r="D7455" s="9">
        <f t="shared" si="116"/>
        <v>39.76</v>
      </c>
      <c r="E7455" s="11"/>
      <c r="F7455" s="9"/>
    </row>
    <row r="7456" s="1" customFormat="1" customHeight="1" spans="1:6">
      <c r="A7456" s="9" t="str">
        <f>"10330824914"</f>
        <v>10330824914</v>
      </c>
      <c r="B7456" s="10">
        <v>47.54</v>
      </c>
      <c r="C7456" s="9"/>
      <c r="D7456" s="9">
        <f t="shared" si="116"/>
        <v>47.54</v>
      </c>
      <c r="E7456" s="11"/>
      <c r="F7456" s="9"/>
    </row>
    <row r="7457" s="1" customFormat="1" customHeight="1" spans="1:6">
      <c r="A7457" s="9" t="str">
        <f>"10060824915"</f>
        <v>10060824915</v>
      </c>
      <c r="B7457" s="10">
        <v>0</v>
      </c>
      <c r="C7457" s="9"/>
      <c r="D7457" s="9">
        <f t="shared" si="116"/>
        <v>0</v>
      </c>
      <c r="E7457" s="11"/>
      <c r="F7457" s="9" t="s">
        <v>7</v>
      </c>
    </row>
    <row r="7458" s="1" customFormat="1" customHeight="1" spans="1:6">
      <c r="A7458" s="9" t="str">
        <f>"10360824916"</f>
        <v>10360824916</v>
      </c>
      <c r="B7458" s="10">
        <v>49.82</v>
      </c>
      <c r="C7458" s="9"/>
      <c r="D7458" s="9">
        <f t="shared" si="116"/>
        <v>49.82</v>
      </c>
      <c r="E7458" s="11"/>
      <c r="F7458" s="9"/>
    </row>
    <row r="7459" s="1" customFormat="1" customHeight="1" spans="1:6">
      <c r="A7459" s="9" t="str">
        <f>"20180824917"</f>
        <v>20180824917</v>
      </c>
      <c r="B7459" s="10">
        <v>41.23</v>
      </c>
      <c r="C7459" s="9"/>
      <c r="D7459" s="9">
        <f t="shared" si="116"/>
        <v>41.23</v>
      </c>
      <c r="E7459" s="11"/>
      <c r="F7459" s="9"/>
    </row>
    <row r="7460" s="1" customFormat="1" customHeight="1" spans="1:6">
      <c r="A7460" s="9" t="str">
        <f>"10530824918"</f>
        <v>10530824918</v>
      </c>
      <c r="B7460" s="10">
        <v>35.86</v>
      </c>
      <c r="C7460" s="9"/>
      <c r="D7460" s="9">
        <f t="shared" si="116"/>
        <v>35.86</v>
      </c>
      <c r="E7460" s="11"/>
      <c r="F7460" s="9"/>
    </row>
    <row r="7461" s="1" customFormat="1" customHeight="1" spans="1:6">
      <c r="A7461" s="9" t="str">
        <f>"10160824919"</f>
        <v>10160824919</v>
      </c>
      <c r="B7461" s="10">
        <v>36.06</v>
      </c>
      <c r="C7461" s="9"/>
      <c r="D7461" s="9">
        <f t="shared" si="116"/>
        <v>36.06</v>
      </c>
      <c r="E7461" s="11"/>
      <c r="F7461" s="9"/>
    </row>
    <row r="7462" s="1" customFormat="1" customHeight="1" spans="1:6">
      <c r="A7462" s="9" t="str">
        <f>"10210824920"</f>
        <v>10210824920</v>
      </c>
      <c r="B7462" s="10">
        <v>0</v>
      </c>
      <c r="C7462" s="9"/>
      <c r="D7462" s="9">
        <f t="shared" si="116"/>
        <v>0</v>
      </c>
      <c r="E7462" s="11"/>
      <c r="F7462" s="9" t="s">
        <v>7</v>
      </c>
    </row>
    <row r="7463" s="1" customFormat="1" customHeight="1" spans="1:6">
      <c r="A7463" s="9" t="str">
        <f>"10330824921"</f>
        <v>10330824921</v>
      </c>
      <c r="B7463" s="10">
        <v>44.88</v>
      </c>
      <c r="C7463" s="9"/>
      <c r="D7463" s="9">
        <f t="shared" si="116"/>
        <v>44.88</v>
      </c>
      <c r="E7463" s="11"/>
      <c r="F7463" s="9"/>
    </row>
    <row r="7464" s="1" customFormat="1" customHeight="1" spans="1:6">
      <c r="A7464" s="9" t="str">
        <f>"10300824922"</f>
        <v>10300824922</v>
      </c>
      <c r="B7464" s="10">
        <v>27.59</v>
      </c>
      <c r="C7464" s="9"/>
      <c r="D7464" s="9">
        <f t="shared" si="116"/>
        <v>27.59</v>
      </c>
      <c r="E7464" s="11"/>
      <c r="F7464" s="9"/>
    </row>
    <row r="7465" s="1" customFormat="1" customHeight="1" spans="1:6">
      <c r="A7465" s="9" t="str">
        <f>"10300824923"</f>
        <v>10300824923</v>
      </c>
      <c r="B7465" s="10">
        <v>50.47</v>
      </c>
      <c r="C7465" s="9"/>
      <c r="D7465" s="9">
        <f t="shared" si="116"/>
        <v>50.47</v>
      </c>
      <c r="E7465" s="11"/>
      <c r="F7465" s="9"/>
    </row>
    <row r="7466" s="1" customFormat="1" customHeight="1" spans="1:6">
      <c r="A7466" s="9" t="str">
        <f>"10510824924"</f>
        <v>10510824924</v>
      </c>
      <c r="B7466" s="10">
        <v>45.3</v>
      </c>
      <c r="C7466" s="9"/>
      <c r="D7466" s="9">
        <f t="shared" si="116"/>
        <v>45.3</v>
      </c>
      <c r="E7466" s="11"/>
      <c r="F7466" s="9"/>
    </row>
    <row r="7467" s="1" customFormat="1" customHeight="1" spans="1:6">
      <c r="A7467" s="9" t="str">
        <f>"10530824925"</f>
        <v>10530824925</v>
      </c>
      <c r="B7467" s="10">
        <v>0</v>
      </c>
      <c r="C7467" s="9"/>
      <c r="D7467" s="9">
        <f t="shared" si="116"/>
        <v>0</v>
      </c>
      <c r="E7467" s="11"/>
      <c r="F7467" s="9" t="s">
        <v>7</v>
      </c>
    </row>
    <row r="7468" s="1" customFormat="1" customHeight="1" spans="1:6">
      <c r="A7468" s="9" t="str">
        <f>"10300824926"</f>
        <v>10300824926</v>
      </c>
      <c r="B7468" s="10">
        <v>0</v>
      </c>
      <c r="C7468" s="9"/>
      <c r="D7468" s="9">
        <f t="shared" si="116"/>
        <v>0</v>
      </c>
      <c r="E7468" s="11"/>
      <c r="F7468" s="9" t="s">
        <v>7</v>
      </c>
    </row>
    <row r="7469" s="1" customFormat="1" customHeight="1" spans="1:6">
      <c r="A7469" s="9" t="str">
        <f>"10330824927"</f>
        <v>10330824927</v>
      </c>
      <c r="B7469" s="10">
        <v>49.62</v>
      </c>
      <c r="C7469" s="9"/>
      <c r="D7469" s="9">
        <f t="shared" si="116"/>
        <v>49.62</v>
      </c>
      <c r="E7469" s="11"/>
      <c r="F7469" s="9"/>
    </row>
    <row r="7470" s="1" customFormat="1" customHeight="1" spans="1:6">
      <c r="A7470" s="9" t="str">
        <f>"10060824928"</f>
        <v>10060824928</v>
      </c>
      <c r="B7470" s="10">
        <v>0</v>
      </c>
      <c r="C7470" s="9"/>
      <c r="D7470" s="9">
        <f t="shared" si="116"/>
        <v>0</v>
      </c>
      <c r="E7470" s="11"/>
      <c r="F7470" s="9" t="s">
        <v>7</v>
      </c>
    </row>
    <row r="7471" s="1" customFormat="1" customHeight="1" spans="1:6">
      <c r="A7471" s="9" t="str">
        <f>"10210824929"</f>
        <v>10210824929</v>
      </c>
      <c r="B7471" s="10">
        <v>0</v>
      </c>
      <c r="C7471" s="9"/>
      <c r="D7471" s="9">
        <f t="shared" si="116"/>
        <v>0</v>
      </c>
      <c r="E7471" s="11"/>
      <c r="F7471" s="9" t="s">
        <v>7</v>
      </c>
    </row>
    <row r="7472" s="1" customFormat="1" customHeight="1" spans="1:6">
      <c r="A7472" s="9" t="str">
        <f>"10360824930"</f>
        <v>10360824930</v>
      </c>
      <c r="B7472" s="10">
        <v>0</v>
      </c>
      <c r="C7472" s="9"/>
      <c r="D7472" s="9">
        <f t="shared" si="116"/>
        <v>0</v>
      </c>
      <c r="E7472" s="11"/>
      <c r="F7472" s="9" t="s">
        <v>7</v>
      </c>
    </row>
    <row r="7473" s="1" customFormat="1" customHeight="1" spans="1:6">
      <c r="A7473" s="9" t="str">
        <f>"10280825001"</f>
        <v>10280825001</v>
      </c>
      <c r="B7473" s="10">
        <v>45.6</v>
      </c>
      <c r="C7473" s="9"/>
      <c r="D7473" s="9">
        <f t="shared" si="116"/>
        <v>45.6</v>
      </c>
      <c r="E7473" s="11"/>
      <c r="F7473" s="9"/>
    </row>
    <row r="7474" s="1" customFormat="1" customHeight="1" spans="1:6">
      <c r="A7474" s="9" t="str">
        <f>"10280825002"</f>
        <v>10280825002</v>
      </c>
      <c r="B7474" s="10">
        <v>41.21</v>
      </c>
      <c r="C7474" s="9"/>
      <c r="D7474" s="9">
        <f t="shared" si="116"/>
        <v>41.21</v>
      </c>
      <c r="E7474" s="11"/>
      <c r="F7474" s="9"/>
    </row>
    <row r="7475" s="1" customFormat="1" customHeight="1" spans="1:6">
      <c r="A7475" s="9" t="str">
        <f>"10330825003"</f>
        <v>10330825003</v>
      </c>
      <c r="B7475" s="10">
        <v>34.91</v>
      </c>
      <c r="C7475" s="9"/>
      <c r="D7475" s="9">
        <f t="shared" si="116"/>
        <v>34.91</v>
      </c>
      <c r="E7475" s="11"/>
      <c r="F7475" s="9"/>
    </row>
    <row r="7476" s="1" customFormat="1" customHeight="1" spans="1:6">
      <c r="A7476" s="9" t="str">
        <f>"10510825004"</f>
        <v>10510825004</v>
      </c>
      <c r="B7476" s="10">
        <v>50.24</v>
      </c>
      <c r="C7476" s="9"/>
      <c r="D7476" s="9">
        <f t="shared" si="116"/>
        <v>50.24</v>
      </c>
      <c r="E7476" s="11"/>
      <c r="F7476" s="9"/>
    </row>
    <row r="7477" s="1" customFormat="1" customHeight="1" spans="1:6">
      <c r="A7477" s="9" t="str">
        <f>"10530825005"</f>
        <v>10530825005</v>
      </c>
      <c r="B7477" s="10">
        <v>40.11</v>
      </c>
      <c r="C7477" s="9"/>
      <c r="D7477" s="9">
        <f t="shared" si="116"/>
        <v>40.11</v>
      </c>
      <c r="E7477" s="11"/>
      <c r="F7477" s="9"/>
    </row>
    <row r="7478" s="1" customFormat="1" customHeight="1" spans="1:6">
      <c r="A7478" s="9" t="str">
        <f>"10530825006"</f>
        <v>10530825006</v>
      </c>
      <c r="B7478" s="10">
        <v>0</v>
      </c>
      <c r="C7478" s="9"/>
      <c r="D7478" s="9">
        <f t="shared" si="116"/>
        <v>0</v>
      </c>
      <c r="E7478" s="11"/>
      <c r="F7478" s="9" t="s">
        <v>7</v>
      </c>
    </row>
    <row r="7479" s="1" customFormat="1" customHeight="1" spans="1:6">
      <c r="A7479" s="9" t="str">
        <f>"10360825007"</f>
        <v>10360825007</v>
      </c>
      <c r="B7479" s="10">
        <v>48.31</v>
      </c>
      <c r="C7479" s="9"/>
      <c r="D7479" s="9">
        <f t="shared" si="116"/>
        <v>48.31</v>
      </c>
      <c r="E7479" s="11"/>
      <c r="F7479" s="9"/>
    </row>
    <row r="7480" s="1" customFormat="1" customHeight="1" spans="1:6">
      <c r="A7480" s="9" t="str">
        <f>"10360825008"</f>
        <v>10360825008</v>
      </c>
      <c r="B7480" s="10">
        <v>45.16</v>
      </c>
      <c r="C7480" s="9"/>
      <c r="D7480" s="9">
        <f t="shared" si="116"/>
        <v>45.16</v>
      </c>
      <c r="E7480" s="11"/>
      <c r="F7480" s="9"/>
    </row>
    <row r="7481" s="1" customFormat="1" customHeight="1" spans="1:6">
      <c r="A7481" s="9" t="str">
        <f>"10300825009"</f>
        <v>10300825009</v>
      </c>
      <c r="B7481" s="10">
        <v>43.05</v>
      </c>
      <c r="C7481" s="9"/>
      <c r="D7481" s="9">
        <f t="shared" si="116"/>
        <v>43.05</v>
      </c>
      <c r="E7481" s="11"/>
      <c r="F7481" s="9"/>
    </row>
    <row r="7482" s="1" customFormat="1" customHeight="1" spans="1:6">
      <c r="A7482" s="9" t="str">
        <f>"10440825010"</f>
        <v>10440825010</v>
      </c>
      <c r="B7482" s="10">
        <v>0</v>
      </c>
      <c r="C7482" s="9"/>
      <c r="D7482" s="9">
        <f t="shared" si="116"/>
        <v>0</v>
      </c>
      <c r="E7482" s="11"/>
      <c r="F7482" s="9" t="s">
        <v>7</v>
      </c>
    </row>
    <row r="7483" s="1" customFormat="1" customHeight="1" spans="1:6">
      <c r="A7483" s="9" t="str">
        <f>"10330825011"</f>
        <v>10330825011</v>
      </c>
      <c r="B7483" s="10">
        <v>0</v>
      </c>
      <c r="C7483" s="9"/>
      <c r="D7483" s="9">
        <f t="shared" si="116"/>
        <v>0</v>
      </c>
      <c r="E7483" s="11"/>
      <c r="F7483" s="9" t="s">
        <v>7</v>
      </c>
    </row>
    <row r="7484" s="1" customFormat="1" customHeight="1" spans="1:6">
      <c r="A7484" s="9" t="str">
        <f>"10100825012"</f>
        <v>10100825012</v>
      </c>
      <c r="B7484" s="10">
        <v>38.27</v>
      </c>
      <c r="C7484" s="9"/>
      <c r="D7484" s="9">
        <f t="shared" si="116"/>
        <v>38.27</v>
      </c>
      <c r="E7484" s="11"/>
      <c r="F7484" s="9"/>
    </row>
    <row r="7485" s="1" customFormat="1" customHeight="1" spans="1:6">
      <c r="A7485" s="9" t="str">
        <f>"10480825013"</f>
        <v>10480825013</v>
      </c>
      <c r="B7485" s="10">
        <v>42.96</v>
      </c>
      <c r="C7485" s="9"/>
      <c r="D7485" s="9">
        <f t="shared" si="116"/>
        <v>42.96</v>
      </c>
      <c r="E7485" s="11"/>
      <c r="F7485" s="9"/>
    </row>
    <row r="7486" s="1" customFormat="1" customHeight="1" spans="1:6">
      <c r="A7486" s="9" t="str">
        <f>"10100825014"</f>
        <v>10100825014</v>
      </c>
      <c r="B7486" s="10">
        <v>48.59</v>
      </c>
      <c r="C7486" s="9"/>
      <c r="D7486" s="9">
        <f t="shared" si="116"/>
        <v>48.59</v>
      </c>
      <c r="E7486" s="11"/>
      <c r="F7486" s="9"/>
    </row>
    <row r="7487" s="1" customFormat="1" customHeight="1" spans="1:6">
      <c r="A7487" s="9" t="str">
        <f>"10090825015"</f>
        <v>10090825015</v>
      </c>
      <c r="B7487" s="10">
        <v>46.89</v>
      </c>
      <c r="C7487" s="9"/>
      <c r="D7487" s="9">
        <f t="shared" si="116"/>
        <v>46.89</v>
      </c>
      <c r="E7487" s="11"/>
      <c r="F7487" s="9"/>
    </row>
    <row r="7488" s="1" customFormat="1" customHeight="1" spans="1:6">
      <c r="A7488" s="9" t="str">
        <f>"10200825016"</f>
        <v>10200825016</v>
      </c>
      <c r="B7488" s="10">
        <v>41.94</v>
      </c>
      <c r="C7488" s="9"/>
      <c r="D7488" s="9">
        <f t="shared" si="116"/>
        <v>41.94</v>
      </c>
      <c r="E7488" s="11"/>
      <c r="F7488" s="9"/>
    </row>
    <row r="7489" s="1" customFormat="1" customHeight="1" spans="1:6">
      <c r="A7489" s="9" t="str">
        <f>"10500825017"</f>
        <v>10500825017</v>
      </c>
      <c r="B7489" s="10">
        <v>34.61</v>
      </c>
      <c r="C7489" s="9"/>
      <c r="D7489" s="9">
        <f t="shared" si="116"/>
        <v>34.61</v>
      </c>
      <c r="E7489" s="11"/>
      <c r="F7489" s="9"/>
    </row>
    <row r="7490" s="1" customFormat="1" customHeight="1" spans="1:6">
      <c r="A7490" s="9" t="str">
        <f>"10360825018"</f>
        <v>10360825018</v>
      </c>
      <c r="B7490" s="10">
        <v>0</v>
      </c>
      <c r="C7490" s="9"/>
      <c r="D7490" s="9">
        <f t="shared" si="116"/>
        <v>0</v>
      </c>
      <c r="E7490" s="11"/>
      <c r="F7490" s="9" t="s">
        <v>7</v>
      </c>
    </row>
    <row r="7491" s="1" customFormat="1" customHeight="1" spans="1:6">
      <c r="A7491" s="9" t="str">
        <f>"10480825019"</f>
        <v>10480825019</v>
      </c>
      <c r="B7491" s="10">
        <v>54.63</v>
      </c>
      <c r="C7491" s="9"/>
      <c r="D7491" s="9">
        <f t="shared" ref="D7491:D7554" si="117">SUM(B7491:C7491)</f>
        <v>54.63</v>
      </c>
      <c r="E7491" s="11"/>
      <c r="F7491" s="9"/>
    </row>
    <row r="7492" s="1" customFormat="1" customHeight="1" spans="1:6">
      <c r="A7492" s="9" t="str">
        <f>"10330825020"</f>
        <v>10330825020</v>
      </c>
      <c r="B7492" s="10">
        <v>40.85</v>
      </c>
      <c r="C7492" s="9"/>
      <c r="D7492" s="9">
        <f t="shared" si="117"/>
        <v>40.85</v>
      </c>
      <c r="E7492" s="11"/>
      <c r="F7492" s="9"/>
    </row>
    <row r="7493" s="1" customFormat="1" customHeight="1" spans="1:6">
      <c r="A7493" s="9" t="str">
        <f>"10090825021"</f>
        <v>10090825021</v>
      </c>
      <c r="B7493" s="10">
        <v>34.54</v>
      </c>
      <c r="C7493" s="9"/>
      <c r="D7493" s="9">
        <f t="shared" si="117"/>
        <v>34.54</v>
      </c>
      <c r="E7493" s="11"/>
      <c r="F7493" s="9"/>
    </row>
    <row r="7494" s="1" customFormat="1" customHeight="1" spans="1:6">
      <c r="A7494" s="9" t="str">
        <f>"10480825022"</f>
        <v>10480825022</v>
      </c>
      <c r="B7494" s="10">
        <v>44.96</v>
      </c>
      <c r="C7494" s="9"/>
      <c r="D7494" s="9">
        <f t="shared" si="117"/>
        <v>44.96</v>
      </c>
      <c r="E7494" s="11"/>
      <c r="F7494" s="9"/>
    </row>
    <row r="7495" s="1" customFormat="1" customHeight="1" spans="1:6">
      <c r="A7495" s="9" t="str">
        <f>"10530825023"</f>
        <v>10530825023</v>
      </c>
      <c r="B7495" s="10">
        <v>38.01</v>
      </c>
      <c r="C7495" s="9"/>
      <c r="D7495" s="9">
        <f t="shared" si="117"/>
        <v>38.01</v>
      </c>
      <c r="E7495" s="11"/>
      <c r="F7495" s="9"/>
    </row>
    <row r="7496" s="1" customFormat="1" customHeight="1" spans="1:6">
      <c r="A7496" s="9" t="str">
        <f>"10080825024"</f>
        <v>10080825024</v>
      </c>
      <c r="B7496" s="10">
        <v>43.07</v>
      </c>
      <c r="C7496" s="9"/>
      <c r="D7496" s="9">
        <f t="shared" si="117"/>
        <v>43.07</v>
      </c>
      <c r="E7496" s="11"/>
      <c r="F7496" s="9"/>
    </row>
    <row r="7497" s="1" customFormat="1" customHeight="1" spans="1:6">
      <c r="A7497" s="9" t="str">
        <f>"10060825025"</f>
        <v>10060825025</v>
      </c>
      <c r="B7497" s="10">
        <v>40.81</v>
      </c>
      <c r="C7497" s="9"/>
      <c r="D7497" s="9">
        <f t="shared" si="117"/>
        <v>40.81</v>
      </c>
      <c r="E7497" s="11"/>
      <c r="F7497" s="9"/>
    </row>
    <row r="7498" s="1" customFormat="1" customHeight="1" spans="1:6">
      <c r="A7498" s="9" t="str">
        <f>"10180825026"</f>
        <v>10180825026</v>
      </c>
      <c r="B7498" s="10">
        <v>37.26</v>
      </c>
      <c r="C7498" s="9"/>
      <c r="D7498" s="9">
        <f t="shared" si="117"/>
        <v>37.26</v>
      </c>
      <c r="E7498" s="11"/>
      <c r="F7498" s="9"/>
    </row>
    <row r="7499" s="1" customFormat="1" customHeight="1" spans="1:6">
      <c r="A7499" s="9" t="str">
        <f>"10460825027"</f>
        <v>10460825027</v>
      </c>
      <c r="B7499" s="10">
        <v>0</v>
      </c>
      <c r="C7499" s="9"/>
      <c r="D7499" s="9">
        <f t="shared" si="117"/>
        <v>0</v>
      </c>
      <c r="E7499" s="11"/>
      <c r="F7499" s="9" t="s">
        <v>7</v>
      </c>
    </row>
    <row r="7500" s="1" customFormat="1" customHeight="1" spans="1:6">
      <c r="A7500" s="9" t="str">
        <f>"10170825028"</f>
        <v>10170825028</v>
      </c>
      <c r="B7500" s="10">
        <v>29.17</v>
      </c>
      <c r="C7500" s="9"/>
      <c r="D7500" s="9">
        <f t="shared" si="117"/>
        <v>29.17</v>
      </c>
      <c r="E7500" s="11"/>
      <c r="F7500" s="9"/>
    </row>
    <row r="7501" s="1" customFormat="1" customHeight="1" spans="1:6">
      <c r="A7501" s="9" t="str">
        <f>"10500825029"</f>
        <v>10500825029</v>
      </c>
      <c r="B7501" s="10">
        <v>34.56</v>
      </c>
      <c r="C7501" s="9"/>
      <c r="D7501" s="9">
        <f t="shared" si="117"/>
        <v>34.56</v>
      </c>
      <c r="E7501" s="11"/>
      <c r="F7501" s="9"/>
    </row>
    <row r="7502" s="1" customFormat="1" customHeight="1" spans="1:6">
      <c r="A7502" s="9" t="str">
        <f>"10040825030"</f>
        <v>10040825030</v>
      </c>
      <c r="B7502" s="10">
        <v>44.86</v>
      </c>
      <c r="C7502" s="9"/>
      <c r="D7502" s="9">
        <f t="shared" si="117"/>
        <v>44.86</v>
      </c>
      <c r="E7502" s="11"/>
      <c r="F7502" s="9"/>
    </row>
    <row r="7503" s="1" customFormat="1" customHeight="1" spans="1:6">
      <c r="A7503" s="9" t="str">
        <f>"10360825101"</f>
        <v>10360825101</v>
      </c>
      <c r="B7503" s="10">
        <v>38.92</v>
      </c>
      <c r="C7503" s="9"/>
      <c r="D7503" s="9">
        <f t="shared" si="117"/>
        <v>38.92</v>
      </c>
      <c r="E7503" s="11"/>
      <c r="F7503" s="9"/>
    </row>
    <row r="7504" s="1" customFormat="1" customHeight="1" spans="1:6">
      <c r="A7504" s="9" t="str">
        <f>"10130825102"</f>
        <v>10130825102</v>
      </c>
      <c r="B7504" s="10">
        <v>0</v>
      </c>
      <c r="C7504" s="9"/>
      <c r="D7504" s="9">
        <f t="shared" si="117"/>
        <v>0</v>
      </c>
      <c r="E7504" s="11"/>
      <c r="F7504" s="9" t="s">
        <v>7</v>
      </c>
    </row>
    <row r="7505" s="1" customFormat="1" customHeight="1" spans="1:6">
      <c r="A7505" s="9" t="str">
        <f>"20180825103"</f>
        <v>20180825103</v>
      </c>
      <c r="B7505" s="10">
        <v>42.49</v>
      </c>
      <c r="C7505" s="9"/>
      <c r="D7505" s="9">
        <f t="shared" si="117"/>
        <v>42.49</v>
      </c>
      <c r="E7505" s="11"/>
      <c r="F7505" s="9"/>
    </row>
    <row r="7506" s="1" customFormat="1" customHeight="1" spans="1:6">
      <c r="A7506" s="9" t="str">
        <f>"10080825104"</f>
        <v>10080825104</v>
      </c>
      <c r="B7506" s="10">
        <v>43.7</v>
      </c>
      <c r="C7506" s="9"/>
      <c r="D7506" s="9">
        <f t="shared" si="117"/>
        <v>43.7</v>
      </c>
      <c r="E7506" s="11"/>
      <c r="F7506" s="9"/>
    </row>
    <row r="7507" s="1" customFormat="1" customHeight="1" spans="1:6">
      <c r="A7507" s="9" t="str">
        <f>"10360825105"</f>
        <v>10360825105</v>
      </c>
      <c r="B7507" s="10">
        <v>40.87</v>
      </c>
      <c r="C7507" s="9"/>
      <c r="D7507" s="9">
        <f t="shared" si="117"/>
        <v>40.87</v>
      </c>
      <c r="E7507" s="11"/>
      <c r="F7507" s="9"/>
    </row>
    <row r="7508" s="1" customFormat="1" customHeight="1" spans="1:6">
      <c r="A7508" s="9" t="str">
        <f>"10500825106"</f>
        <v>10500825106</v>
      </c>
      <c r="B7508" s="10">
        <v>34.97</v>
      </c>
      <c r="C7508" s="9"/>
      <c r="D7508" s="9">
        <f t="shared" si="117"/>
        <v>34.97</v>
      </c>
      <c r="E7508" s="11"/>
      <c r="F7508" s="9"/>
    </row>
    <row r="7509" s="1" customFormat="1" customHeight="1" spans="1:6">
      <c r="A7509" s="9" t="str">
        <f>"10140825107"</f>
        <v>10140825107</v>
      </c>
      <c r="B7509" s="10">
        <v>0</v>
      </c>
      <c r="C7509" s="9"/>
      <c r="D7509" s="9">
        <f t="shared" si="117"/>
        <v>0</v>
      </c>
      <c r="E7509" s="11"/>
      <c r="F7509" s="9" t="s">
        <v>7</v>
      </c>
    </row>
    <row r="7510" s="1" customFormat="1" customHeight="1" spans="1:6">
      <c r="A7510" s="9" t="str">
        <f>"10060825108"</f>
        <v>10060825108</v>
      </c>
      <c r="B7510" s="10">
        <v>34.53</v>
      </c>
      <c r="C7510" s="9"/>
      <c r="D7510" s="9">
        <f t="shared" si="117"/>
        <v>34.53</v>
      </c>
      <c r="E7510" s="11"/>
      <c r="F7510" s="9"/>
    </row>
    <row r="7511" s="1" customFormat="1" customHeight="1" spans="1:6">
      <c r="A7511" s="9" t="str">
        <f>"10530825109"</f>
        <v>10530825109</v>
      </c>
      <c r="B7511" s="10">
        <v>38.68</v>
      </c>
      <c r="C7511" s="9"/>
      <c r="D7511" s="9">
        <f t="shared" si="117"/>
        <v>38.68</v>
      </c>
      <c r="E7511" s="11"/>
      <c r="F7511" s="9"/>
    </row>
    <row r="7512" s="1" customFormat="1" customHeight="1" spans="1:6">
      <c r="A7512" s="9" t="str">
        <f>"10090825110"</f>
        <v>10090825110</v>
      </c>
      <c r="B7512" s="10">
        <v>34.59</v>
      </c>
      <c r="C7512" s="9"/>
      <c r="D7512" s="9">
        <f t="shared" si="117"/>
        <v>34.59</v>
      </c>
      <c r="E7512" s="11"/>
      <c r="F7512" s="9"/>
    </row>
    <row r="7513" s="1" customFormat="1" customHeight="1" spans="1:6">
      <c r="A7513" s="9" t="str">
        <f>"10520825111"</f>
        <v>10520825111</v>
      </c>
      <c r="B7513" s="10">
        <v>0</v>
      </c>
      <c r="C7513" s="9"/>
      <c r="D7513" s="9">
        <f t="shared" si="117"/>
        <v>0</v>
      </c>
      <c r="E7513" s="11"/>
      <c r="F7513" s="9" t="s">
        <v>7</v>
      </c>
    </row>
    <row r="7514" s="1" customFormat="1" customHeight="1" spans="1:6">
      <c r="A7514" s="9" t="str">
        <f>"10080825112"</f>
        <v>10080825112</v>
      </c>
      <c r="B7514" s="10">
        <v>0</v>
      </c>
      <c r="C7514" s="9"/>
      <c r="D7514" s="9">
        <f t="shared" si="117"/>
        <v>0</v>
      </c>
      <c r="E7514" s="11"/>
      <c r="F7514" s="9" t="s">
        <v>7</v>
      </c>
    </row>
    <row r="7515" s="1" customFormat="1" customHeight="1" spans="1:6">
      <c r="A7515" s="9" t="str">
        <f>"10360825113"</f>
        <v>10360825113</v>
      </c>
      <c r="B7515" s="10">
        <v>81.47</v>
      </c>
      <c r="C7515" s="9"/>
      <c r="D7515" s="9">
        <f t="shared" si="117"/>
        <v>81.47</v>
      </c>
      <c r="E7515" s="11"/>
      <c r="F7515" s="9"/>
    </row>
    <row r="7516" s="1" customFormat="1" customHeight="1" spans="1:6">
      <c r="A7516" s="9" t="str">
        <f>"10340825114"</f>
        <v>10340825114</v>
      </c>
      <c r="B7516" s="10">
        <v>33.13</v>
      </c>
      <c r="C7516" s="9"/>
      <c r="D7516" s="9">
        <f t="shared" si="117"/>
        <v>33.13</v>
      </c>
      <c r="E7516" s="11"/>
      <c r="F7516" s="9"/>
    </row>
    <row r="7517" s="1" customFormat="1" customHeight="1" spans="1:6">
      <c r="A7517" s="9" t="str">
        <f>"10530825115"</f>
        <v>10530825115</v>
      </c>
      <c r="B7517" s="10">
        <v>46.51</v>
      </c>
      <c r="C7517" s="9"/>
      <c r="D7517" s="9">
        <f t="shared" si="117"/>
        <v>46.51</v>
      </c>
      <c r="E7517" s="11"/>
      <c r="F7517" s="9"/>
    </row>
    <row r="7518" s="1" customFormat="1" customHeight="1" spans="1:6">
      <c r="A7518" s="9" t="str">
        <f>"10340825116"</f>
        <v>10340825116</v>
      </c>
      <c r="B7518" s="10">
        <v>41.86</v>
      </c>
      <c r="C7518" s="9"/>
      <c r="D7518" s="9">
        <f t="shared" si="117"/>
        <v>41.86</v>
      </c>
      <c r="E7518" s="11"/>
      <c r="F7518" s="9"/>
    </row>
    <row r="7519" s="1" customFormat="1" customHeight="1" spans="1:6">
      <c r="A7519" s="9" t="str">
        <f>"10300825117"</f>
        <v>10300825117</v>
      </c>
      <c r="B7519" s="10">
        <v>0</v>
      </c>
      <c r="C7519" s="9"/>
      <c r="D7519" s="9">
        <f t="shared" si="117"/>
        <v>0</v>
      </c>
      <c r="E7519" s="11"/>
      <c r="F7519" s="9" t="s">
        <v>7</v>
      </c>
    </row>
    <row r="7520" s="1" customFormat="1" customHeight="1" spans="1:6">
      <c r="A7520" s="9" t="str">
        <f>"10280825118"</f>
        <v>10280825118</v>
      </c>
      <c r="B7520" s="10">
        <v>44.64</v>
      </c>
      <c r="C7520" s="9">
        <v>10</v>
      </c>
      <c r="D7520" s="9">
        <f t="shared" si="117"/>
        <v>54.64</v>
      </c>
      <c r="E7520" s="12" t="s">
        <v>8</v>
      </c>
      <c r="F7520" s="9"/>
    </row>
    <row r="7521" s="1" customFormat="1" customHeight="1" spans="1:6">
      <c r="A7521" s="9" t="str">
        <f>"10370825119"</f>
        <v>10370825119</v>
      </c>
      <c r="B7521" s="10">
        <v>49.91</v>
      </c>
      <c r="C7521" s="9"/>
      <c r="D7521" s="9">
        <f t="shared" si="117"/>
        <v>49.91</v>
      </c>
      <c r="E7521" s="11"/>
      <c r="F7521" s="9"/>
    </row>
    <row r="7522" s="1" customFormat="1" customHeight="1" spans="1:6">
      <c r="A7522" s="9" t="str">
        <f>"10090825120"</f>
        <v>10090825120</v>
      </c>
      <c r="B7522" s="10">
        <v>49.33</v>
      </c>
      <c r="C7522" s="9"/>
      <c r="D7522" s="9">
        <f t="shared" si="117"/>
        <v>49.33</v>
      </c>
      <c r="E7522" s="11"/>
      <c r="F7522" s="9"/>
    </row>
    <row r="7523" s="1" customFormat="1" customHeight="1" spans="1:6">
      <c r="A7523" s="9" t="str">
        <f>"10340825121"</f>
        <v>10340825121</v>
      </c>
      <c r="B7523" s="10">
        <v>35.14</v>
      </c>
      <c r="C7523" s="9"/>
      <c r="D7523" s="9">
        <f t="shared" si="117"/>
        <v>35.14</v>
      </c>
      <c r="E7523" s="11"/>
      <c r="F7523" s="9"/>
    </row>
    <row r="7524" s="1" customFormat="1" customHeight="1" spans="1:6">
      <c r="A7524" s="9" t="str">
        <f>"10170825122"</f>
        <v>10170825122</v>
      </c>
      <c r="B7524" s="10">
        <v>0</v>
      </c>
      <c r="C7524" s="9"/>
      <c r="D7524" s="9">
        <f t="shared" si="117"/>
        <v>0</v>
      </c>
      <c r="E7524" s="11"/>
      <c r="F7524" s="9" t="s">
        <v>7</v>
      </c>
    </row>
    <row r="7525" s="1" customFormat="1" customHeight="1" spans="1:6">
      <c r="A7525" s="9" t="str">
        <f>"10300825123"</f>
        <v>10300825123</v>
      </c>
      <c r="B7525" s="10">
        <v>0</v>
      </c>
      <c r="C7525" s="9"/>
      <c r="D7525" s="9">
        <f t="shared" si="117"/>
        <v>0</v>
      </c>
      <c r="E7525" s="11"/>
      <c r="F7525" s="9" t="s">
        <v>7</v>
      </c>
    </row>
    <row r="7526" s="1" customFormat="1" customHeight="1" spans="1:6">
      <c r="A7526" s="9" t="str">
        <f>"10480825124"</f>
        <v>10480825124</v>
      </c>
      <c r="B7526" s="10">
        <v>0</v>
      </c>
      <c r="C7526" s="9"/>
      <c r="D7526" s="9">
        <f t="shared" si="117"/>
        <v>0</v>
      </c>
      <c r="E7526" s="11"/>
      <c r="F7526" s="9" t="s">
        <v>7</v>
      </c>
    </row>
    <row r="7527" s="1" customFormat="1" customHeight="1" spans="1:6">
      <c r="A7527" s="9" t="str">
        <f>"10060825125"</f>
        <v>10060825125</v>
      </c>
      <c r="B7527" s="10">
        <v>38.28</v>
      </c>
      <c r="C7527" s="9"/>
      <c r="D7527" s="9">
        <f t="shared" si="117"/>
        <v>38.28</v>
      </c>
      <c r="E7527" s="11"/>
      <c r="F7527" s="9"/>
    </row>
    <row r="7528" s="1" customFormat="1" customHeight="1" spans="1:6">
      <c r="A7528" s="9" t="str">
        <f>"10100825126"</f>
        <v>10100825126</v>
      </c>
      <c r="B7528" s="10">
        <v>0</v>
      </c>
      <c r="C7528" s="9"/>
      <c r="D7528" s="9">
        <f t="shared" si="117"/>
        <v>0</v>
      </c>
      <c r="E7528" s="11"/>
      <c r="F7528" s="9" t="s">
        <v>7</v>
      </c>
    </row>
    <row r="7529" s="1" customFormat="1" customHeight="1" spans="1:6">
      <c r="A7529" s="9" t="str">
        <f>"10290825127"</f>
        <v>10290825127</v>
      </c>
      <c r="B7529" s="10">
        <v>39.35</v>
      </c>
      <c r="C7529" s="9"/>
      <c r="D7529" s="9">
        <f t="shared" si="117"/>
        <v>39.35</v>
      </c>
      <c r="E7529" s="11"/>
      <c r="F7529" s="9"/>
    </row>
    <row r="7530" s="1" customFormat="1" customHeight="1" spans="1:6">
      <c r="A7530" s="9" t="str">
        <f>"10500825128"</f>
        <v>10500825128</v>
      </c>
      <c r="B7530" s="10">
        <v>41.39</v>
      </c>
      <c r="C7530" s="9"/>
      <c r="D7530" s="9">
        <f t="shared" si="117"/>
        <v>41.39</v>
      </c>
      <c r="E7530" s="11"/>
      <c r="F7530" s="9"/>
    </row>
    <row r="7531" s="1" customFormat="1" customHeight="1" spans="1:6">
      <c r="A7531" s="9" t="str">
        <f>"10510825129"</f>
        <v>10510825129</v>
      </c>
      <c r="B7531" s="10">
        <v>0</v>
      </c>
      <c r="C7531" s="9"/>
      <c r="D7531" s="9">
        <f t="shared" si="117"/>
        <v>0</v>
      </c>
      <c r="E7531" s="11"/>
      <c r="F7531" s="9" t="s">
        <v>7</v>
      </c>
    </row>
    <row r="7532" s="1" customFormat="1" customHeight="1" spans="1:6">
      <c r="A7532" s="9" t="str">
        <f>"10130825130"</f>
        <v>10130825130</v>
      </c>
      <c r="B7532" s="10">
        <v>0</v>
      </c>
      <c r="C7532" s="9"/>
      <c r="D7532" s="9">
        <f t="shared" si="117"/>
        <v>0</v>
      </c>
      <c r="E7532" s="11"/>
      <c r="F7532" s="9" t="s">
        <v>7</v>
      </c>
    </row>
    <row r="7533" s="1" customFormat="1" customHeight="1" spans="1:6">
      <c r="A7533" s="9" t="str">
        <f>"10520825201"</f>
        <v>10520825201</v>
      </c>
      <c r="B7533" s="10">
        <v>31.05</v>
      </c>
      <c r="C7533" s="9"/>
      <c r="D7533" s="9">
        <f t="shared" si="117"/>
        <v>31.05</v>
      </c>
      <c r="E7533" s="11"/>
      <c r="F7533" s="9"/>
    </row>
    <row r="7534" s="1" customFormat="1" customHeight="1" spans="1:6">
      <c r="A7534" s="9" t="str">
        <f>"10010825202"</f>
        <v>10010825202</v>
      </c>
      <c r="B7534" s="10">
        <v>77.14</v>
      </c>
      <c r="C7534" s="9"/>
      <c r="D7534" s="9">
        <f t="shared" si="117"/>
        <v>77.14</v>
      </c>
      <c r="E7534" s="11"/>
      <c r="F7534" s="9"/>
    </row>
    <row r="7535" s="1" customFormat="1" customHeight="1" spans="1:6">
      <c r="A7535" s="9" t="str">
        <f>"10180825203"</f>
        <v>10180825203</v>
      </c>
      <c r="B7535" s="10">
        <v>46.03</v>
      </c>
      <c r="C7535" s="9"/>
      <c r="D7535" s="9">
        <f t="shared" si="117"/>
        <v>46.03</v>
      </c>
      <c r="E7535" s="11"/>
      <c r="F7535" s="9"/>
    </row>
    <row r="7536" s="1" customFormat="1" customHeight="1" spans="1:6">
      <c r="A7536" s="9" t="str">
        <f>"10020825204"</f>
        <v>10020825204</v>
      </c>
      <c r="B7536" s="10">
        <v>36.3</v>
      </c>
      <c r="C7536" s="9"/>
      <c r="D7536" s="9">
        <f t="shared" si="117"/>
        <v>36.3</v>
      </c>
      <c r="E7536" s="11"/>
      <c r="F7536" s="9"/>
    </row>
    <row r="7537" s="1" customFormat="1" customHeight="1" spans="1:6">
      <c r="A7537" s="9" t="str">
        <f>"10360825205"</f>
        <v>10360825205</v>
      </c>
      <c r="B7537" s="10">
        <v>0</v>
      </c>
      <c r="C7537" s="9"/>
      <c r="D7537" s="9">
        <f t="shared" si="117"/>
        <v>0</v>
      </c>
      <c r="E7537" s="11"/>
      <c r="F7537" s="9" t="s">
        <v>7</v>
      </c>
    </row>
    <row r="7538" s="1" customFormat="1" customHeight="1" spans="1:6">
      <c r="A7538" s="9" t="str">
        <f>"10180825206"</f>
        <v>10180825206</v>
      </c>
      <c r="B7538" s="10">
        <v>38.5</v>
      </c>
      <c r="C7538" s="9"/>
      <c r="D7538" s="9">
        <f t="shared" si="117"/>
        <v>38.5</v>
      </c>
      <c r="E7538" s="11"/>
      <c r="F7538" s="9"/>
    </row>
    <row r="7539" s="1" customFormat="1" customHeight="1" spans="1:6">
      <c r="A7539" s="9" t="str">
        <f>"10360825207"</f>
        <v>10360825207</v>
      </c>
      <c r="B7539" s="10">
        <v>0</v>
      </c>
      <c r="C7539" s="9"/>
      <c r="D7539" s="9">
        <f t="shared" si="117"/>
        <v>0</v>
      </c>
      <c r="E7539" s="11"/>
      <c r="F7539" s="9" t="s">
        <v>7</v>
      </c>
    </row>
    <row r="7540" s="1" customFormat="1" customHeight="1" spans="1:6">
      <c r="A7540" s="9" t="str">
        <f>"10080825208"</f>
        <v>10080825208</v>
      </c>
      <c r="B7540" s="10">
        <v>35.75</v>
      </c>
      <c r="C7540" s="9"/>
      <c r="D7540" s="9">
        <f t="shared" si="117"/>
        <v>35.75</v>
      </c>
      <c r="E7540" s="11"/>
      <c r="F7540" s="9"/>
    </row>
    <row r="7541" s="1" customFormat="1" customHeight="1" spans="1:6">
      <c r="A7541" s="9" t="str">
        <f>"10300825209"</f>
        <v>10300825209</v>
      </c>
      <c r="B7541" s="10">
        <v>44.86</v>
      </c>
      <c r="C7541" s="9"/>
      <c r="D7541" s="9">
        <f t="shared" si="117"/>
        <v>44.86</v>
      </c>
      <c r="E7541" s="11"/>
      <c r="F7541" s="9"/>
    </row>
    <row r="7542" s="1" customFormat="1" customHeight="1" spans="1:6">
      <c r="A7542" s="9" t="str">
        <f>"10360825210"</f>
        <v>10360825210</v>
      </c>
      <c r="B7542" s="10">
        <v>44.24</v>
      </c>
      <c r="C7542" s="9"/>
      <c r="D7542" s="9">
        <f t="shared" si="117"/>
        <v>44.24</v>
      </c>
      <c r="E7542" s="11"/>
      <c r="F7542" s="9"/>
    </row>
    <row r="7543" s="1" customFormat="1" customHeight="1" spans="1:6">
      <c r="A7543" s="9" t="str">
        <f>"10210825211"</f>
        <v>10210825211</v>
      </c>
      <c r="B7543" s="10">
        <v>41.71</v>
      </c>
      <c r="C7543" s="9"/>
      <c r="D7543" s="9">
        <f t="shared" si="117"/>
        <v>41.71</v>
      </c>
      <c r="E7543" s="11"/>
      <c r="F7543" s="9"/>
    </row>
    <row r="7544" s="1" customFormat="1" customHeight="1" spans="1:6">
      <c r="A7544" s="9" t="str">
        <f>"10330825212"</f>
        <v>10330825212</v>
      </c>
      <c r="B7544" s="10">
        <v>43.99</v>
      </c>
      <c r="C7544" s="9"/>
      <c r="D7544" s="9">
        <f t="shared" si="117"/>
        <v>43.99</v>
      </c>
      <c r="E7544" s="11"/>
      <c r="F7544" s="9"/>
    </row>
    <row r="7545" s="1" customFormat="1" customHeight="1" spans="1:6">
      <c r="A7545" s="9" t="str">
        <f>"10130825213"</f>
        <v>10130825213</v>
      </c>
      <c r="B7545" s="10">
        <v>0</v>
      </c>
      <c r="C7545" s="9"/>
      <c r="D7545" s="9">
        <f t="shared" si="117"/>
        <v>0</v>
      </c>
      <c r="E7545" s="11"/>
      <c r="F7545" s="9" t="s">
        <v>7</v>
      </c>
    </row>
    <row r="7546" s="1" customFormat="1" customHeight="1" spans="1:6">
      <c r="A7546" s="9" t="str">
        <f>"10520825214"</f>
        <v>10520825214</v>
      </c>
      <c r="B7546" s="10">
        <v>42.11</v>
      </c>
      <c r="C7546" s="9"/>
      <c r="D7546" s="9">
        <f t="shared" si="117"/>
        <v>42.11</v>
      </c>
      <c r="E7546" s="11"/>
      <c r="F7546" s="9"/>
    </row>
    <row r="7547" s="1" customFormat="1" customHeight="1" spans="1:6">
      <c r="A7547" s="9" t="str">
        <f>"10460825215"</f>
        <v>10460825215</v>
      </c>
      <c r="B7547" s="10">
        <v>0</v>
      </c>
      <c r="C7547" s="9"/>
      <c r="D7547" s="9">
        <f t="shared" si="117"/>
        <v>0</v>
      </c>
      <c r="E7547" s="11"/>
      <c r="F7547" s="9" t="s">
        <v>7</v>
      </c>
    </row>
    <row r="7548" s="1" customFormat="1" customHeight="1" spans="1:6">
      <c r="A7548" s="9" t="str">
        <f>"10300825216"</f>
        <v>10300825216</v>
      </c>
      <c r="B7548" s="10">
        <v>38.14</v>
      </c>
      <c r="C7548" s="9"/>
      <c r="D7548" s="9">
        <f t="shared" si="117"/>
        <v>38.14</v>
      </c>
      <c r="E7548" s="11"/>
      <c r="F7548" s="9"/>
    </row>
    <row r="7549" s="1" customFormat="1" customHeight="1" spans="1:6">
      <c r="A7549" s="9" t="str">
        <f>"10280825217"</f>
        <v>10280825217</v>
      </c>
      <c r="B7549" s="10">
        <v>0</v>
      </c>
      <c r="C7549" s="9"/>
      <c r="D7549" s="9">
        <f t="shared" si="117"/>
        <v>0</v>
      </c>
      <c r="E7549" s="11"/>
      <c r="F7549" s="9" t="s">
        <v>7</v>
      </c>
    </row>
    <row r="7550" s="1" customFormat="1" customHeight="1" spans="1:6">
      <c r="A7550" s="9" t="str">
        <f>"10500825218"</f>
        <v>10500825218</v>
      </c>
      <c r="B7550" s="10">
        <v>36</v>
      </c>
      <c r="C7550" s="9">
        <v>10</v>
      </c>
      <c r="D7550" s="9">
        <f t="shared" si="117"/>
        <v>46</v>
      </c>
      <c r="E7550" s="12" t="s">
        <v>8</v>
      </c>
      <c r="F7550" s="9"/>
    </row>
    <row r="7551" s="1" customFormat="1" customHeight="1" spans="1:6">
      <c r="A7551" s="9" t="str">
        <f>"10360825219"</f>
        <v>10360825219</v>
      </c>
      <c r="B7551" s="10">
        <v>50.14</v>
      </c>
      <c r="C7551" s="9"/>
      <c r="D7551" s="9">
        <f t="shared" si="117"/>
        <v>50.14</v>
      </c>
      <c r="E7551" s="11"/>
      <c r="F7551" s="9"/>
    </row>
    <row r="7552" s="1" customFormat="1" customHeight="1" spans="1:6">
      <c r="A7552" s="9" t="str">
        <f>"10360825220"</f>
        <v>10360825220</v>
      </c>
      <c r="B7552" s="10">
        <v>0</v>
      </c>
      <c r="C7552" s="9"/>
      <c r="D7552" s="9">
        <f t="shared" si="117"/>
        <v>0</v>
      </c>
      <c r="E7552" s="11"/>
      <c r="F7552" s="9" t="s">
        <v>7</v>
      </c>
    </row>
    <row r="7553" s="1" customFormat="1" customHeight="1" spans="1:6">
      <c r="A7553" s="9" t="str">
        <f>"10090825221"</f>
        <v>10090825221</v>
      </c>
      <c r="B7553" s="10">
        <v>46.16</v>
      </c>
      <c r="C7553" s="9"/>
      <c r="D7553" s="9">
        <f t="shared" si="117"/>
        <v>46.16</v>
      </c>
      <c r="E7553" s="11"/>
      <c r="F7553" s="9"/>
    </row>
    <row r="7554" s="1" customFormat="1" customHeight="1" spans="1:6">
      <c r="A7554" s="9" t="str">
        <f>"10530825222"</f>
        <v>10530825222</v>
      </c>
      <c r="B7554" s="10">
        <v>36.88</v>
      </c>
      <c r="C7554" s="9"/>
      <c r="D7554" s="9">
        <f t="shared" si="117"/>
        <v>36.88</v>
      </c>
      <c r="E7554" s="11"/>
      <c r="F7554" s="9"/>
    </row>
    <row r="7555" s="1" customFormat="1" customHeight="1" spans="1:6">
      <c r="A7555" s="9" t="str">
        <f>"10010825223"</f>
        <v>10010825223</v>
      </c>
      <c r="B7555" s="10">
        <v>39.01</v>
      </c>
      <c r="C7555" s="9"/>
      <c r="D7555" s="9">
        <f t="shared" ref="D7555:D7618" si="118">SUM(B7555:C7555)</f>
        <v>39.01</v>
      </c>
      <c r="E7555" s="11"/>
      <c r="F7555" s="9"/>
    </row>
    <row r="7556" s="1" customFormat="1" customHeight="1" spans="1:6">
      <c r="A7556" s="9" t="str">
        <f>"10360825224"</f>
        <v>10360825224</v>
      </c>
      <c r="B7556" s="10">
        <v>0</v>
      </c>
      <c r="C7556" s="9"/>
      <c r="D7556" s="9">
        <f t="shared" si="118"/>
        <v>0</v>
      </c>
      <c r="E7556" s="11"/>
      <c r="F7556" s="9" t="s">
        <v>7</v>
      </c>
    </row>
    <row r="7557" s="1" customFormat="1" customHeight="1" spans="1:6">
      <c r="A7557" s="9" t="str">
        <f>"20270825225"</f>
        <v>20270825225</v>
      </c>
      <c r="B7557" s="10">
        <v>47.87</v>
      </c>
      <c r="C7557" s="9"/>
      <c r="D7557" s="9">
        <f t="shared" si="118"/>
        <v>47.87</v>
      </c>
      <c r="E7557" s="11"/>
      <c r="F7557" s="9"/>
    </row>
    <row r="7558" s="1" customFormat="1" customHeight="1" spans="1:6">
      <c r="A7558" s="9" t="str">
        <f>"10510825226"</f>
        <v>10510825226</v>
      </c>
      <c r="B7558" s="10">
        <v>38.82</v>
      </c>
      <c r="C7558" s="9"/>
      <c r="D7558" s="9">
        <f t="shared" si="118"/>
        <v>38.82</v>
      </c>
      <c r="E7558" s="11"/>
      <c r="F7558" s="9"/>
    </row>
    <row r="7559" s="1" customFormat="1" customHeight="1" spans="1:6">
      <c r="A7559" s="9" t="str">
        <f>"10140825227"</f>
        <v>10140825227</v>
      </c>
      <c r="B7559" s="10">
        <v>47.92</v>
      </c>
      <c r="C7559" s="9"/>
      <c r="D7559" s="9">
        <f t="shared" si="118"/>
        <v>47.92</v>
      </c>
      <c r="E7559" s="11"/>
      <c r="F7559" s="9"/>
    </row>
    <row r="7560" s="1" customFormat="1" customHeight="1" spans="1:6">
      <c r="A7560" s="9" t="str">
        <f>"10360825228"</f>
        <v>10360825228</v>
      </c>
      <c r="B7560" s="10">
        <v>38.74</v>
      </c>
      <c r="C7560" s="9"/>
      <c r="D7560" s="9">
        <f t="shared" si="118"/>
        <v>38.74</v>
      </c>
      <c r="E7560" s="11"/>
      <c r="F7560" s="9"/>
    </row>
    <row r="7561" s="1" customFormat="1" customHeight="1" spans="1:6">
      <c r="A7561" s="9" t="str">
        <f>"10370825229"</f>
        <v>10370825229</v>
      </c>
      <c r="B7561" s="10">
        <v>0</v>
      </c>
      <c r="C7561" s="9"/>
      <c r="D7561" s="9">
        <f t="shared" si="118"/>
        <v>0</v>
      </c>
      <c r="E7561" s="11"/>
      <c r="F7561" s="9" t="s">
        <v>7</v>
      </c>
    </row>
    <row r="7562" s="1" customFormat="1" customHeight="1" spans="1:6">
      <c r="A7562" s="9" t="str">
        <f>"10060825230"</f>
        <v>10060825230</v>
      </c>
      <c r="B7562" s="10">
        <v>0</v>
      </c>
      <c r="C7562" s="9"/>
      <c r="D7562" s="9">
        <f t="shared" si="118"/>
        <v>0</v>
      </c>
      <c r="E7562" s="11"/>
      <c r="F7562" s="9" t="s">
        <v>7</v>
      </c>
    </row>
    <row r="7563" s="1" customFormat="1" customHeight="1" spans="1:6">
      <c r="A7563" s="9" t="str">
        <f>"10510825301"</f>
        <v>10510825301</v>
      </c>
      <c r="B7563" s="10">
        <v>42.41</v>
      </c>
      <c r="C7563" s="9"/>
      <c r="D7563" s="9">
        <f t="shared" si="118"/>
        <v>42.41</v>
      </c>
      <c r="E7563" s="11"/>
      <c r="F7563" s="9"/>
    </row>
    <row r="7564" s="1" customFormat="1" customHeight="1" spans="1:6">
      <c r="A7564" s="9" t="str">
        <f>"10290825302"</f>
        <v>10290825302</v>
      </c>
      <c r="B7564" s="10">
        <v>45.59</v>
      </c>
      <c r="C7564" s="9"/>
      <c r="D7564" s="9">
        <f t="shared" si="118"/>
        <v>45.59</v>
      </c>
      <c r="E7564" s="11"/>
      <c r="F7564" s="9"/>
    </row>
    <row r="7565" s="1" customFormat="1" customHeight="1" spans="1:6">
      <c r="A7565" s="9" t="str">
        <f>"10500825303"</f>
        <v>10500825303</v>
      </c>
      <c r="B7565" s="10">
        <v>30.07</v>
      </c>
      <c r="C7565" s="9"/>
      <c r="D7565" s="9">
        <f t="shared" si="118"/>
        <v>30.07</v>
      </c>
      <c r="E7565" s="11"/>
      <c r="F7565" s="9"/>
    </row>
    <row r="7566" s="1" customFormat="1" customHeight="1" spans="1:6">
      <c r="A7566" s="9" t="str">
        <f>"10300825304"</f>
        <v>10300825304</v>
      </c>
      <c r="B7566" s="10">
        <v>35.98</v>
      </c>
      <c r="C7566" s="9">
        <v>10</v>
      </c>
      <c r="D7566" s="9">
        <f t="shared" si="118"/>
        <v>45.98</v>
      </c>
      <c r="E7566" s="12" t="s">
        <v>8</v>
      </c>
      <c r="F7566" s="9"/>
    </row>
    <row r="7567" s="1" customFormat="1" customHeight="1" spans="1:6">
      <c r="A7567" s="9" t="str">
        <f>"10530825305"</f>
        <v>10530825305</v>
      </c>
      <c r="B7567" s="10">
        <v>38.99</v>
      </c>
      <c r="C7567" s="9"/>
      <c r="D7567" s="9">
        <f t="shared" si="118"/>
        <v>38.99</v>
      </c>
      <c r="E7567" s="11"/>
      <c r="F7567" s="9"/>
    </row>
    <row r="7568" s="1" customFormat="1" customHeight="1" spans="1:6">
      <c r="A7568" s="9" t="str">
        <f>"10530825306"</f>
        <v>10530825306</v>
      </c>
      <c r="B7568" s="10">
        <v>34.5</v>
      </c>
      <c r="C7568" s="9"/>
      <c r="D7568" s="9">
        <f t="shared" si="118"/>
        <v>34.5</v>
      </c>
      <c r="E7568" s="11"/>
      <c r="F7568" s="9"/>
    </row>
    <row r="7569" s="1" customFormat="1" customHeight="1" spans="1:6">
      <c r="A7569" s="9" t="str">
        <f>"10190825307"</f>
        <v>10190825307</v>
      </c>
      <c r="B7569" s="10">
        <v>0</v>
      </c>
      <c r="C7569" s="9"/>
      <c r="D7569" s="9">
        <f t="shared" si="118"/>
        <v>0</v>
      </c>
      <c r="E7569" s="11"/>
      <c r="F7569" s="9" t="s">
        <v>7</v>
      </c>
    </row>
    <row r="7570" s="1" customFormat="1" customHeight="1" spans="1:6">
      <c r="A7570" s="9" t="str">
        <f>"10090825308"</f>
        <v>10090825308</v>
      </c>
      <c r="B7570" s="10">
        <v>0</v>
      </c>
      <c r="C7570" s="9"/>
      <c r="D7570" s="9">
        <f t="shared" si="118"/>
        <v>0</v>
      </c>
      <c r="E7570" s="11"/>
      <c r="F7570" s="9" t="s">
        <v>7</v>
      </c>
    </row>
    <row r="7571" s="1" customFormat="1" customHeight="1" spans="1:6">
      <c r="A7571" s="9" t="str">
        <f>"10530825309"</f>
        <v>10530825309</v>
      </c>
      <c r="B7571" s="10">
        <v>43.02</v>
      </c>
      <c r="C7571" s="9"/>
      <c r="D7571" s="9">
        <f t="shared" si="118"/>
        <v>43.02</v>
      </c>
      <c r="E7571" s="11"/>
      <c r="F7571" s="9"/>
    </row>
    <row r="7572" s="1" customFormat="1" customHeight="1" spans="1:6">
      <c r="A7572" s="9" t="str">
        <f>"10360825310"</f>
        <v>10360825310</v>
      </c>
      <c r="B7572" s="10">
        <v>44.26</v>
      </c>
      <c r="C7572" s="9"/>
      <c r="D7572" s="9">
        <f t="shared" si="118"/>
        <v>44.26</v>
      </c>
      <c r="E7572" s="11"/>
      <c r="F7572" s="9"/>
    </row>
    <row r="7573" s="1" customFormat="1" customHeight="1" spans="1:6">
      <c r="A7573" s="9" t="str">
        <f>"10500825311"</f>
        <v>10500825311</v>
      </c>
      <c r="B7573" s="10">
        <v>0</v>
      </c>
      <c r="C7573" s="9"/>
      <c r="D7573" s="9">
        <f t="shared" si="118"/>
        <v>0</v>
      </c>
      <c r="E7573" s="11"/>
      <c r="F7573" s="9" t="s">
        <v>7</v>
      </c>
    </row>
    <row r="7574" s="1" customFormat="1" customHeight="1" spans="1:6">
      <c r="A7574" s="9" t="str">
        <f>"10480825312"</f>
        <v>10480825312</v>
      </c>
      <c r="B7574" s="10">
        <v>37.25</v>
      </c>
      <c r="C7574" s="9"/>
      <c r="D7574" s="9">
        <f t="shared" si="118"/>
        <v>37.25</v>
      </c>
      <c r="E7574" s="11"/>
      <c r="F7574" s="9"/>
    </row>
    <row r="7575" s="1" customFormat="1" customHeight="1" spans="1:6">
      <c r="A7575" s="9" t="str">
        <f>"10060825313"</f>
        <v>10060825313</v>
      </c>
      <c r="B7575" s="10">
        <v>36.79</v>
      </c>
      <c r="C7575" s="9"/>
      <c r="D7575" s="9">
        <f t="shared" si="118"/>
        <v>36.79</v>
      </c>
      <c r="E7575" s="11"/>
      <c r="F7575" s="9"/>
    </row>
    <row r="7576" s="1" customFormat="1" customHeight="1" spans="1:6">
      <c r="A7576" s="9" t="str">
        <f>"10410825314"</f>
        <v>10410825314</v>
      </c>
      <c r="B7576" s="10">
        <v>32.28</v>
      </c>
      <c r="C7576" s="9"/>
      <c r="D7576" s="9">
        <f t="shared" si="118"/>
        <v>32.28</v>
      </c>
      <c r="E7576" s="11"/>
      <c r="F7576" s="9"/>
    </row>
    <row r="7577" s="1" customFormat="1" customHeight="1" spans="1:6">
      <c r="A7577" s="9" t="str">
        <f>"10270825315"</f>
        <v>10270825315</v>
      </c>
      <c r="B7577" s="10">
        <v>44.41</v>
      </c>
      <c r="C7577" s="9"/>
      <c r="D7577" s="9">
        <f t="shared" si="118"/>
        <v>44.41</v>
      </c>
      <c r="E7577" s="11"/>
      <c r="F7577" s="9"/>
    </row>
    <row r="7578" s="1" customFormat="1" customHeight="1" spans="1:6">
      <c r="A7578" s="9" t="str">
        <f>"10130825316"</f>
        <v>10130825316</v>
      </c>
      <c r="B7578" s="10">
        <v>42.11</v>
      </c>
      <c r="C7578" s="9"/>
      <c r="D7578" s="9">
        <f t="shared" si="118"/>
        <v>42.11</v>
      </c>
      <c r="E7578" s="11"/>
      <c r="F7578" s="9"/>
    </row>
    <row r="7579" s="1" customFormat="1" customHeight="1" spans="1:6">
      <c r="A7579" s="9" t="str">
        <f>"10360825317"</f>
        <v>10360825317</v>
      </c>
      <c r="B7579" s="10">
        <v>34.22</v>
      </c>
      <c r="C7579" s="9"/>
      <c r="D7579" s="9">
        <f t="shared" si="118"/>
        <v>34.22</v>
      </c>
      <c r="E7579" s="11"/>
      <c r="F7579" s="9"/>
    </row>
    <row r="7580" s="1" customFormat="1" customHeight="1" spans="1:6">
      <c r="A7580" s="9" t="str">
        <f>"10330825318"</f>
        <v>10330825318</v>
      </c>
      <c r="B7580" s="10">
        <v>0</v>
      </c>
      <c r="C7580" s="9"/>
      <c r="D7580" s="9">
        <f t="shared" si="118"/>
        <v>0</v>
      </c>
      <c r="E7580" s="11"/>
      <c r="F7580" s="9" t="s">
        <v>7</v>
      </c>
    </row>
    <row r="7581" s="1" customFormat="1" customHeight="1" spans="1:6">
      <c r="A7581" s="9" t="str">
        <f>"20270825319"</f>
        <v>20270825319</v>
      </c>
      <c r="B7581" s="10">
        <v>42</v>
      </c>
      <c r="C7581" s="9"/>
      <c r="D7581" s="9">
        <f t="shared" si="118"/>
        <v>42</v>
      </c>
      <c r="E7581" s="11"/>
      <c r="F7581" s="9"/>
    </row>
    <row r="7582" s="1" customFormat="1" customHeight="1" spans="1:6">
      <c r="A7582" s="9" t="str">
        <f>"10360825320"</f>
        <v>10360825320</v>
      </c>
      <c r="B7582" s="10">
        <v>40.51</v>
      </c>
      <c r="C7582" s="9"/>
      <c r="D7582" s="9">
        <f t="shared" si="118"/>
        <v>40.51</v>
      </c>
      <c r="E7582" s="11"/>
      <c r="F7582" s="9"/>
    </row>
    <row r="7583" s="1" customFormat="1" customHeight="1" spans="1:6">
      <c r="A7583" s="9" t="str">
        <f>"10520825321"</f>
        <v>10520825321</v>
      </c>
      <c r="B7583" s="10">
        <v>0</v>
      </c>
      <c r="C7583" s="9"/>
      <c r="D7583" s="9">
        <f t="shared" si="118"/>
        <v>0</v>
      </c>
      <c r="E7583" s="11"/>
      <c r="F7583" s="9" t="s">
        <v>7</v>
      </c>
    </row>
    <row r="7584" s="1" customFormat="1" customHeight="1" spans="1:6">
      <c r="A7584" s="9" t="str">
        <f>"10140825322"</f>
        <v>10140825322</v>
      </c>
      <c r="B7584" s="10">
        <v>43.53</v>
      </c>
      <c r="C7584" s="9"/>
      <c r="D7584" s="9">
        <f t="shared" si="118"/>
        <v>43.53</v>
      </c>
      <c r="E7584" s="11"/>
      <c r="F7584" s="9"/>
    </row>
    <row r="7585" s="1" customFormat="1" customHeight="1" spans="1:6">
      <c r="A7585" s="9" t="str">
        <f>"10520825323"</f>
        <v>10520825323</v>
      </c>
      <c r="B7585" s="10">
        <v>45.5</v>
      </c>
      <c r="C7585" s="9"/>
      <c r="D7585" s="9">
        <f t="shared" si="118"/>
        <v>45.5</v>
      </c>
      <c r="E7585" s="11"/>
      <c r="F7585" s="9"/>
    </row>
    <row r="7586" s="1" customFormat="1" customHeight="1" spans="1:6">
      <c r="A7586" s="9" t="str">
        <f>"10060825324"</f>
        <v>10060825324</v>
      </c>
      <c r="B7586" s="10">
        <v>0</v>
      </c>
      <c r="C7586" s="9"/>
      <c r="D7586" s="9">
        <f t="shared" si="118"/>
        <v>0</v>
      </c>
      <c r="E7586" s="11"/>
      <c r="F7586" s="9" t="s">
        <v>7</v>
      </c>
    </row>
    <row r="7587" s="1" customFormat="1" customHeight="1" spans="1:6">
      <c r="A7587" s="9" t="str">
        <f>"10070825325"</f>
        <v>10070825325</v>
      </c>
      <c r="B7587" s="10">
        <v>48.47</v>
      </c>
      <c r="C7587" s="9"/>
      <c r="D7587" s="9">
        <f t="shared" si="118"/>
        <v>48.47</v>
      </c>
      <c r="E7587" s="11"/>
      <c r="F7587" s="9"/>
    </row>
    <row r="7588" s="1" customFormat="1" customHeight="1" spans="1:6">
      <c r="A7588" s="9" t="str">
        <f>"10270825326"</f>
        <v>10270825326</v>
      </c>
      <c r="B7588" s="10">
        <v>36.62</v>
      </c>
      <c r="C7588" s="9"/>
      <c r="D7588" s="9">
        <f t="shared" si="118"/>
        <v>36.62</v>
      </c>
      <c r="E7588" s="11"/>
      <c r="F7588" s="9"/>
    </row>
    <row r="7589" s="1" customFormat="1" customHeight="1" spans="1:6">
      <c r="A7589" s="9" t="str">
        <f>"10230825327"</f>
        <v>10230825327</v>
      </c>
      <c r="B7589" s="10">
        <v>0</v>
      </c>
      <c r="C7589" s="9"/>
      <c r="D7589" s="9">
        <f t="shared" si="118"/>
        <v>0</v>
      </c>
      <c r="E7589" s="11"/>
      <c r="F7589" s="9" t="s">
        <v>7</v>
      </c>
    </row>
    <row r="7590" s="1" customFormat="1" customHeight="1" spans="1:6">
      <c r="A7590" s="9" t="str">
        <f>"10330825328"</f>
        <v>10330825328</v>
      </c>
      <c r="B7590" s="10">
        <v>43.06</v>
      </c>
      <c r="C7590" s="9"/>
      <c r="D7590" s="9">
        <f t="shared" si="118"/>
        <v>43.06</v>
      </c>
      <c r="E7590" s="11"/>
      <c r="F7590" s="9"/>
    </row>
    <row r="7591" s="1" customFormat="1" customHeight="1" spans="1:6">
      <c r="A7591" s="9" t="str">
        <f>"10120825329"</f>
        <v>10120825329</v>
      </c>
      <c r="B7591" s="10">
        <v>41.98</v>
      </c>
      <c r="C7591" s="9"/>
      <c r="D7591" s="9">
        <f t="shared" si="118"/>
        <v>41.98</v>
      </c>
      <c r="E7591" s="11"/>
      <c r="F7591" s="9"/>
    </row>
    <row r="7592" s="1" customFormat="1" customHeight="1" spans="1:6">
      <c r="A7592" s="9" t="str">
        <f>"10130825330"</f>
        <v>10130825330</v>
      </c>
      <c r="B7592" s="10">
        <v>0</v>
      </c>
      <c r="C7592" s="9"/>
      <c r="D7592" s="9">
        <f t="shared" si="118"/>
        <v>0</v>
      </c>
      <c r="E7592" s="11"/>
      <c r="F7592" s="9" t="s">
        <v>7</v>
      </c>
    </row>
    <row r="7593" s="1" customFormat="1" customHeight="1" spans="1:6">
      <c r="A7593" s="9" t="str">
        <f>"10360825401"</f>
        <v>10360825401</v>
      </c>
      <c r="B7593" s="10">
        <v>39.18</v>
      </c>
      <c r="C7593" s="9">
        <v>10</v>
      </c>
      <c r="D7593" s="9">
        <f t="shared" si="118"/>
        <v>49.18</v>
      </c>
      <c r="E7593" s="12" t="s">
        <v>8</v>
      </c>
      <c r="F7593" s="9"/>
    </row>
    <row r="7594" s="1" customFormat="1" customHeight="1" spans="1:6">
      <c r="A7594" s="9" t="str">
        <f>"10160825402"</f>
        <v>10160825402</v>
      </c>
      <c r="B7594" s="10">
        <v>37.41</v>
      </c>
      <c r="C7594" s="9"/>
      <c r="D7594" s="9">
        <f t="shared" si="118"/>
        <v>37.41</v>
      </c>
      <c r="E7594" s="11"/>
      <c r="F7594" s="9"/>
    </row>
    <row r="7595" s="1" customFormat="1" customHeight="1" spans="1:6">
      <c r="A7595" s="9" t="str">
        <f>"10440825403"</f>
        <v>10440825403</v>
      </c>
      <c r="B7595" s="10">
        <v>0</v>
      </c>
      <c r="C7595" s="9"/>
      <c r="D7595" s="9">
        <f t="shared" si="118"/>
        <v>0</v>
      </c>
      <c r="E7595" s="11"/>
      <c r="F7595" s="9" t="s">
        <v>7</v>
      </c>
    </row>
    <row r="7596" s="1" customFormat="1" customHeight="1" spans="1:6">
      <c r="A7596" s="9" t="str">
        <f>"10140825404"</f>
        <v>10140825404</v>
      </c>
      <c r="B7596" s="10">
        <v>0</v>
      </c>
      <c r="C7596" s="9"/>
      <c r="D7596" s="9">
        <f t="shared" si="118"/>
        <v>0</v>
      </c>
      <c r="E7596" s="11"/>
      <c r="F7596" s="9" t="s">
        <v>7</v>
      </c>
    </row>
    <row r="7597" s="1" customFormat="1" customHeight="1" spans="1:6">
      <c r="A7597" s="9" t="str">
        <f>"10350825405"</f>
        <v>10350825405</v>
      </c>
      <c r="B7597" s="10">
        <v>43.99</v>
      </c>
      <c r="C7597" s="9"/>
      <c r="D7597" s="9">
        <f t="shared" si="118"/>
        <v>43.99</v>
      </c>
      <c r="E7597" s="11"/>
      <c r="F7597" s="9"/>
    </row>
    <row r="7598" s="1" customFormat="1" customHeight="1" spans="1:6">
      <c r="A7598" s="9" t="str">
        <f>"10360825406"</f>
        <v>10360825406</v>
      </c>
      <c r="B7598" s="10">
        <v>0</v>
      </c>
      <c r="C7598" s="9"/>
      <c r="D7598" s="9">
        <f t="shared" si="118"/>
        <v>0</v>
      </c>
      <c r="E7598" s="11"/>
      <c r="F7598" s="9" t="s">
        <v>7</v>
      </c>
    </row>
    <row r="7599" s="1" customFormat="1" customHeight="1" spans="1:6">
      <c r="A7599" s="9" t="str">
        <f>"10080825407"</f>
        <v>10080825407</v>
      </c>
      <c r="B7599" s="10">
        <v>0</v>
      </c>
      <c r="C7599" s="9"/>
      <c r="D7599" s="9">
        <f t="shared" si="118"/>
        <v>0</v>
      </c>
      <c r="E7599" s="11"/>
      <c r="F7599" s="9" t="s">
        <v>7</v>
      </c>
    </row>
    <row r="7600" s="1" customFormat="1" customHeight="1" spans="1:6">
      <c r="A7600" s="9" t="str">
        <f>"10360825408"</f>
        <v>10360825408</v>
      </c>
      <c r="B7600" s="10">
        <v>0</v>
      </c>
      <c r="C7600" s="9"/>
      <c r="D7600" s="9">
        <f t="shared" si="118"/>
        <v>0</v>
      </c>
      <c r="E7600" s="11"/>
      <c r="F7600" s="9" t="s">
        <v>7</v>
      </c>
    </row>
    <row r="7601" s="1" customFormat="1" customHeight="1" spans="1:6">
      <c r="A7601" s="9" t="str">
        <f>"10360825409"</f>
        <v>10360825409</v>
      </c>
      <c r="B7601" s="10">
        <v>0</v>
      </c>
      <c r="C7601" s="9"/>
      <c r="D7601" s="9">
        <f t="shared" si="118"/>
        <v>0</v>
      </c>
      <c r="E7601" s="11"/>
      <c r="F7601" s="9" t="s">
        <v>7</v>
      </c>
    </row>
    <row r="7602" s="1" customFormat="1" customHeight="1" spans="1:6">
      <c r="A7602" s="9" t="str">
        <f>"10200825410"</f>
        <v>10200825410</v>
      </c>
      <c r="B7602" s="10">
        <v>48.32</v>
      </c>
      <c r="C7602" s="9"/>
      <c r="D7602" s="9">
        <f t="shared" si="118"/>
        <v>48.32</v>
      </c>
      <c r="E7602" s="11"/>
      <c r="F7602" s="9"/>
    </row>
    <row r="7603" s="1" customFormat="1" customHeight="1" spans="1:6">
      <c r="A7603" s="9" t="str">
        <f>"10360825411"</f>
        <v>10360825411</v>
      </c>
      <c r="B7603" s="10">
        <v>39.82</v>
      </c>
      <c r="C7603" s="9"/>
      <c r="D7603" s="9">
        <f t="shared" si="118"/>
        <v>39.82</v>
      </c>
      <c r="E7603" s="11"/>
      <c r="F7603" s="9"/>
    </row>
    <row r="7604" s="1" customFormat="1" customHeight="1" spans="1:6">
      <c r="A7604" s="9" t="str">
        <f>"10360825412"</f>
        <v>10360825412</v>
      </c>
      <c r="B7604" s="10">
        <v>0</v>
      </c>
      <c r="C7604" s="9"/>
      <c r="D7604" s="9">
        <f t="shared" si="118"/>
        <v>0</v>
      </c>
      <c r="E7604" s="11"/>
      <c r="F7604" s="9" t="s">
        <v>7</v>
      </c>
    </row>
    <row r="7605" s="1" customFormat="1" customHeight="1" spans="1:6">
      <c r="A7605" s="9" t="str">
        <f>"10530825413"</f>
        <v>10530825413</v>
      </c>
      <c r="B7605" s="10">
        <v>32.53</v>
      </c>
      <c r="C7605" s="9"/>
      <c r="D7605" s="9">
        <f t="shared" si="118"/>
        <v>32.53</v>
      </c>
      <c r="E7605" s="11"/>
      <c r="F7605" s="9"/>
    </row>
    <row r="7606" s="1" customFormat="1" customHeight="1" spans="1:6">
      <c r="A7606" s="9" t="str">
        <f>"10360825414"</f>
        <v>10360825414</v>
      </c>
      <c r="B7606" s="10">
        <v>0</v>
      </c>
      <c r="C7606" s="9"/>
      <c r="D7606" s="9">
        <f t="shared" si="118"/>
        <v>0</v>
      </c>
      <c r="E7606" s="11"/>
      <c r="F7606" s="9" t="s">
        <v>7</v>
      </c>
    </row>
    <row r="7607" s="1" customFormat="1" customHeight="1" spans="1:6">
      <c r="A7607" s="9" t="str">
        <f>"10360825415"</f>
        <v>10360825415</v>
      </c>
      <c r="B7607" s="10">
        <v>45.85</v>
      </c>
      <c r="C7607" s="9"/>
      <c r="D7607" s="9">
        <f t="shared" si="118"/>
        <v>45.85</v>
      </c>
      <c r="E7607" s="11"/>
      <c r="F7607" s="9"/>
    </row>
    <row r="7608" s="1" customFormat="1" customHeight="1" spans="1:6">
      <c r="A7608" s="9" t="str">
        <f>"10440825416"</f>
        <v>10440825416</v>
      </c>
      <c r="B7608" s="10">
        <v>42.72</v>
      </c>
      <c r="C7608" s="9"/>
      <c r="D7608" s="9">
        <f t="shared" si="118"/>
        <v>42.72</v>
      </c>
      <c r="E7608" s="11"/>
      <c r="F7608" s="9"/>
    </row>
    <row r="7609" s="1" customFormat="1" customHeight="1" spans="1:6">
      <c r="A7609" s="9" t="str">
        <f>"10210825417"</f>
        <v>10210825417</v>
      </c>
      <c r="B7609" s="10">
        <v>43.48</v>
      </c>
      <c r="C7609" s="9"/>
      <c r="D7609" s="9">
        <f t="shared" si="118"/>
        <v>43.48</v>
      </c>
      <c r="E7609" s="11"/>
      <c r="F7609" s="9"/>
    </row>
    <row r="7610" s="1" customFormat="1" customHeight="1" spans="1:6">
      <c r="A7610" s="9" t="str">
        <f>"10330825418"</f>
        <v>10330825418</v>
      </c>
      <c r="B7610" s="10">
        <v>33.65</v>
      </c>
      <c r="C7610" s="9"/>
      <c r="D7610" s="9">
        <f t="shared" si="118"/>
        <v>33.65</v>
      </c>
      <c r="E7610" s="11"/>
      <c r="F7610" s="9"/>
    </row>
    <row r="7611" s="1" customFormat="1" customHeight="1" spans="1:6">
      <c r="A7611" s="9" t="str">
        <f>"10360825419"</f>
        <v>10360825419</v>
      </c>
      <c r="B7611" s="10">
        <v>31.67</v>
      </c>
      <c r="C7611" s="9"/>
      <c r="D7611" s="9">
        <f t="shared" si="118"/>
        <v>31.67</v>
      </c>
      <c r="E7611" s="11"/>
      <c r="F7611" s="9"/>
    </row>
    <row r="7612" s="1" customFormat="1" customHeight="1" spans="1:6">
      <c r="A7612" s="9" t="str">
        <f>"10080825420"</f>
        <v>10080825420</v>
      </c>
      <c r="B7612" s="10">
        <v>41.58</v>
      </c>
      <c r="C7612" s="9"/>
      <c r="D7612" s="9">
        <f t="shared" si="118"/>
        <v>41.58</v>
      </c>
      <c r="E7612" s="11"/>
      <c r="F7612" s="9"/>
    </row>
    <row r="7613" s="1" customFormat="1" customHeight="1" spans="1:6">
      <c r="A7613" s="9" t="str">
        <f>"20180825421"</f>
        <v>20180825421</v>
      </c>
      <c r="B7613" s="10">
        <v>0</v>
      </c>
      <c r="C7613" s="9"/>
      <c r="D7613" s="9">
        <f t="shared" si="118"/>
        <v>0</v>
      </c>
      <c r="E7613" s="11"/>
      <c r="F7613" s="9" t="s">
        <v>7</v>
      </c>
    </row>
    <row r="7614" s="1" customFormat="1" customHeight="1" spans="1:6">
      <c r="A7614" s="9" t="str">
        <f>"10300825422"</f>
        <v>10300825422</v>
      </c>
      <c r="B7614" s="10">
        <v>32.05</v>
      </c>
      <c r="C7614" s="9"/>
      <c r="D7614" s="9">
        <f t="shared" si="118"/>
        <v>32.05</v>
      </c>
      <c r="E7614" s="11"/>
      <c r="F7614" s="9"/>
    </row>
    <row r="7615" s="1" customFormat="1" customHeight="1" spans="1:6">
      <c r="A7615" s="9" t="str">
        <f>"10480825423"</f>
        <v>10480825423</v>
      </c>
      <c r="B7615" s="10">
        <v>35.4</v>
      </c>
      <c r="C7615" s="9"/>
      <c r="D7615" s="9">
        <f t="shared" si="118"/>
        <v>35.4</v>
      </c>
      <c r="E7615" s="11"/>
      <c r="F7615" s="9"/>
    </row>
    <row r="7616" s="1" customFormat="1" customHeight="1" spans="1:6">
      <c r="A7616" s="9" t="str">
        <f>"10410825424"</f>
        <v>10410825424</v>
      </c>
      <c r="B7616" s="10">
        <v>39.97</v>
      </c>
      <c r="C7616" s="9"/>
      <c r="D7616" s="9">
        <f t="shared" si="118"/>
        <v>39.97</v>
      </c>
      <c r="E7616" s="11"/>
      <c r="F7616" s="9"/>
    </row>
    <row r="7617" s="1" customFormat="1" customHeight="1" spans="1:6">
      <c r="A7617" s="9" t="str">
        <f>"10360825425"</f>
        <v>10360825425</v>
      </c>
      <c r="B7617" s="10">
        <v>0</v>
      </c>
      <c r="C7617" s="9"/>
      <c r="D7617" s="9">
        <f t="shared" si="118"/>
        <v>0</v>
      </c>
      <c r="E7617" s="11"/>
      <c r="F7617" s="9" t="s">
        <v>7</v>
      </c>
    </row>
    <row r="7618" s="1" customFormat="1" customHeight="1" spans="1:6">
      <c r="A7618" s="9" t="str">
        <f>"10520825426"</f>
        <v>10520825426</v>
      </c>
      <c r="B7618" s="10">
        <v>46.36</v>
      </c>
      <c r="C7618" s="9"/>
      <c r="D7618" s="9">
        <f t="shared" si="118"/>
        <v>46.36</v>
      </c>
      <c r="E7618" s="11"/>
      <c r="F7618" s="9"/>
    </row>
    <row r="7619" s="1" customFormat="1" customHeight="1" spans="1:6">
      <c r="A7619" s="9" t="str">
        <f>"10270825427"</f>
        <v>10270825427</v>
      </c>
      <c r="B7619" s="10">
        <v>40.55</v>
      </c>
      <c r="C7619" s="9"/>
      <c r="D7619" s="9">
        <f t="shared" ref="D7619:D7682" si="119">SUM(B7619:C7619)</f>
        <v>40.55</v>
      </c>
      <c r="E7619" s="11"/>
      <c r="F7619" s="9"/>
    </row>
    <row r="7620" s="1" customFormat="1" customHeight="1" spans="1:6">
      <c r="A7620" s="9" t="str">
        <f>"10310825428"</f>
        <v>10310825428</v>
      </c>
      <c r="B7620" s="10">
        <v>44.33</v>
      </c>
      <c r="C7620" s="9"/>
      <c r="D7620" s="9">
        <f t="shared" si="119"/>
        <v>44.33</v>
      </c>
      <c r="E7620" s="11"/>
      <c r="F7620" s="9"/>
    </row>
    <row r="7621" s="1" customFormat="1" customHeight="1" spans="1:6">
      <c r="A7621" s="9" t="str">
        <f>"10400825429"</f>
        <v>10400825429</v>
      </c>
      <c r="B7621" s="10">
        <v>39.86</v>
      </c>
      <c r="C7621" s="9"/>
      <c r="D7621" s="9">
        <f t="shared" si="119"/>
        <v>39.86</v>
      </c>
      <c r="E7621" s="11"/>
      <c r="F7621" s="9"/>
    </row>
    <row r="7622" s="1" customFormat="1" customHeight="1" spans="1:6">
      <c r="A7622" s="9" t="str">
        <f>"10490825430"</f>
        <v>10490825430</v>
      </c>
      <c r="B7622" s="10">
        <v>38.59</v>
      </c>
      <c r="C7622" s="9"/>
      <c r="D7622" s="9">
        <f t="shared" si="119"/>
        <v>38.59</v>
      </c>
      <c r="E7622" s="11"/>
      <c r="F7622" s="9"/>
    </row>
    <row r="7623" s="1" customFormat="1" customHeight="1" spans="1:6">
      <c r="A7623" s="9" t="str">
        <f>"10360825501"</f>
        <v>10360825501</v>
      </c>
      <c r="B7623" s="10">
        <v>46.22</v>
      </c>
      <c r="C7623" s="9"/>
      <c r="D7623" s="9">
        <f t="shared" si="119"/>
        <v>46.22</v>
      </c>
      <c r="E7623" s="11"/>
      <c r="F7623" s="9"/>
    </row>
    <row r="7624" s="1" customFormat="1" customHeight="1" spans="1:6">
      <c r="A7624" s="9" t="str">
        <f>"10070825502"</f>
        <v>10070825502</v>
      </c>
      <c r="B7624" s="10">
        <v>0</v>
      </c>
      <c r="C7624" s="9"/>
      <c r="D7624" s="9">
        <f t="shared" si="119"/>
        <v>0</v>
      </c>
      <c r="E7624" s="11"/>
      <c r="F7624" s="9" t="s">
        <v>7</v>
      </c>
    </row>
    <row r="7625" s="1" customFormat="1" customHeight="1" spans="1:6">
      <c r="A7625" s="9" t="str">
        <f>"10360825503"</f>
        <v>10360825503</v>
      </c>
      <c r="B7625" s="10">
        <v>39.52</v>
      </c>
      <c r="C7625" s="9"/>
      <c r="D7625" s="9">
        <f t="shared" si="119"/>
        <v>39.52</v>
      </c>
      <c r="E7625" s="11"/>
      <c r="F7625" s="9"/>
    </row>
    <row r="7626" s="1" customFormat="1" customHeight="1" spans="1:6">
      <c r="A7626" s="9" t="str">
        <f>"10370825504"</f>
        <v>10370825504</v>
      </c>
      <c r="B7626" s="10">
        <v>46.82</v>
      </c>
      <c r="C7626" s="9"/>
      <c r="D7626" s="9">
        <f t="shared" si="119"/>
        <v>46.82</v>
      </c>
      <c r="E7626" s="11"/>
      <c r="F7626" s="9"/>
    </row>
    <row r="7627" s="1" customFormat="1" customHeight="1" spans="1:6">
      <c r="A7627" s="9" t="str">
        <f>"10370825505"</f>
        <v>10370825505</v>
      </c>
      <c r="B7627" s="10">
        <v>44.6</v>
      </c>
      <c r="C7627" s="9"/>
      <c r="D7627" s="9">
        <f t="shared" si="119"/>
        <v>44.6</v>
      </c>
      <c r="E7627" s="11"/>
      <c r="F7627" s="9"/>
    </row>
    <row r="7628" s="1" customFormat="1" customHeight="1" spans="1:6">
      <c r="A7628" s="9" t="str">
        <f>"10060825506"</f>
        <v>10060825506</v>
      </c>
      <c r="B7628" s="10">
        <v>33.83</v>
      </c>
      <c r="C7628" s="9"/>
      <c r="D7628" s="9">
        <f t="shared" si="119"/>
        <v>33.83</v>
      </c>
      <c r="E7628" s="11"/>
      <c r="F7628" s="9"/>
    </row>
    <row r="7629" s="1" customFormat="1" customHeight="1" spans="1:6">
      <c r="A7629" s="9" t="str">
        <f>"10360825507"</f>
        <v>10360825507</v>
      </c>
      <c r="B7629" s="10">
        <v>35.02</v>
      </c>
      <c r="C7629" s="9"/>
      <c r="D7629" s="9">
        <f t="shared" si="119"/>
        <v>35.02</v>
      </c>
      <c r="E7629" s="11"/>
      <c r="F7629" s="9"/>
    </row>
    <row r="7630" s="1" customFormat="1" customHeight="1" spans="1:6">
      <c r="A7630" s="9" t="str">
        <f>"10050825508"</f>
        <v>10050825508</v>
      </c>
      <c r="B7630" s="10">
        <v>0</v>
      </c>
      <c r="C7630" s="9"/>
      <c r="D7630" s="9">
        <f t="shared" si="119"/>
        <v>0</v>
      </c>
      <c r="E7630" s="11"/>
      <c r="F7630" s="9" t="s">
        <v>7</v>
      </c>
    </row>
    <row r="7631" s="1" customFormat="1" customHeight="1" spans="1:6">
      <c r="A7631" s="9" t="str">
        <f>"10130825509"</f>
        <v>10130825509</v>
      </c>
      <c r="B7631" s="10">
        <v>0</v>
      </c>
      <c r="C7631" s="9"/>
      <c r="D7631" s="9">
        <f t="shared" si="119"/>
        <v>0</v>
      </c>
      <c r="E7631" s="11"/>
      <c r="F7631" s="9" t="s">
        <v>7</v>
      </c>
    </row>
    <row r="7632" s="1" customFormat="1" customHeight="1" spans="1:6">
      <c r="A7632" s="9" t="str">
        <f>"10010825510"</f>
        <v>10010825510</v>
      </c>
      <c r="B7632" s="10">
        <v>41.95</v>
      </c>
      <c r="C7632" s="9"/>
      <c r="D7632" s="9">
        <f t="shared" si="119"/>
        <v>41.95</v>
      </c>
      <c r="E7632" s="11"/>
      <c r="F7632" s="9"/>
    </row>
    <row r="7633" s="1" customFormat="1" customHeight="1" spans="1:6">
      <c r="A7633" s="9" t="str">
        <f>"10300825511"</f>
        <v>10300825511</v>
      </c>
      <c r="B7633" s="10">
        <v>36.11</v>
      </c>
      <c r="C7633" s="9"/>
      <c r="D7633" s="9">
        <f t="shared" si="119"/>
        <v>36.11</v>
      </c>
      <c r="E7633" s="11"/>
      <c r="F7633" s="9"/>
    </row>
    <row r="7634" s="1" customFormat="1" customHeight="1" spans="1:6">
      <c r="A7634" s="9" t="str">
        <f>"10130825512"</f>
        <v>10130825512</v>
      </c>
      <c r="B7634" s="10">
        <v>0</v>
      </c>
      <c r="C7634" s="9"/>
      <c r="D7634" s="9">
        <f t="shared" si="119"/>
        <v>0</v>
      </c>
      <c r="E7634" s="11"/>
      <c r="F7634" s="9" t="s">
        <v>7</v>
      </c>
    </row>
    <row r="7635" s="1" customFormat="1" customHeight="1" spans="1:6">
      <c r="A7635" s="9" t="str">
        <f>"10360825513"</f>
        <v>10360825513</v>
      </c>
      <c r="B7635" s="10">
        <v>0</v>
      </c>
      <c r="C7635" s="9"/>
      <c r="D7635" s="9">
        <f t="shared" si="119"/>
        <v>0</v>
      </c>
      <c r="E7635" s="11"/>
      <c r="F7635" s="9" t="s">
        <v>7</v>
      </c>
    </row>
    <row r="7636" s="1" customFormat="1" customHeight="1" spans="1:6">
      <c r="A7636" s="9" t="str">
        <f>"10130825514"</f>
        <v>10130825514</v>
      </c>
      <c r="B7636" s="10">
        <v>0</v>
      </c>
      <c r="C7636" s="9"/>
      <c r="D7636" s="9">
        <f t="shared" si="119"/>
        <v>0</v>
      </c>
      <c r="E7636" s="11"/>
      <c r="F7636" s="9" t="s">
        <v>7</v>
      </c>
    </row>
    <row r="7637" s="1" customFormat="1" customHeight="1" spans="1:6">
      <c r="A7637" s="9" t="str">
        <f>"20180825515"</f>
        <v>20180825515</v>
      </c>
      <c r="B7637" s="10">
        <v>0</v>
      </c>
      <c r="C7637" s="9"/>
      <c r="D7637" s="9">
        <f t="shared" si="119"/>
        <v>0</v>
      </c>
      <c r="E7637" s="11"/>
      <c r="F7637" s="9" t="s">
        <v>7</v>
      </c>
    </row>
    <row r="7638" s="1" customFormat="1" customHeight="1" spans="1:6">
      <c r="A7638" s="9" t="str">
        <f>"10530825516"</f>
        <v>10530825516</v>
      </c>
      <c r="B7638" s="10">
        <v>35.36</v>
      </c>
      <c r="C7638" s="9"/>
      <c r="D7638" s="9">
        <f t="shared" si="119"/>
        <v>35.36</v>
      </c>
      <c r="E7638" s="11"/>
      <c r="F7638" s="9"/>
    </row>
    <row r="7639" s="1" customFormat="1" customHeight="1" spans="1:6">
      <c r="A7639" s="9" t="str">
        <f>"10100825517"</f>
        <v>10100825517</v>
      </c>
      <c r="B7639" s="10">
        <v>33.49</v>
      </c>
      <c r="C7639" s="9"/>
      <c r="D7639" s="9">
        <f t="shared" si="119"/>
        <v>33.49</v>
      </c>
      <c r="E7639" s="11"/>
      <c r="F7639" s="9"/>
    </row>
    <row r="7640" s="1" customFormat="1" customHeight="1" spans="1:6">
      <c r="A7640" s="9" t="str">
        <f>"10130825518"</f>
        <v>10130825518</v>
      </c>
      <c r="B7640" s="10">
        <v>0</v>
      </c>
      <c r="C7640" s="9"/>
      <c r="D7640" s="9">
        <f t="shared" si="119"/>
        <v>0</v>
      </c>
      <c r="E7640" s="11"/>
      <c r="F7640" s="9" t="s">
        <v>7</v>
      </c>
    </row>
    <row r="7641" s="1" customFormat="1" customHeight="1" spans="1:6">
      <c r="A7641" s="9" t="str">
        <f>"10360825519"</f>
        <v>10360825519</v>
      </c>
      <c r="B7641" s="10">
        <v>37.94</v>
      </c>
      <c r="C7641" s="9"/>
      <c r="D7641" s="9">
        <f t="shared" si="119"/>
        <v>37.94</v>
      </c>
      <c r="E7641" s="11"/>
      <c r="F7641" s="9"/>
    </row>
    <row r="7642" s="1" customFormat="1" customHeight="1" spans="1:6">
      <c r="A7642" s="9" t="str">
        <f>"10100825520"</f>
        <v>10100825520</v>
      </c>
      <c r="B7642" s="10">
        <v>48.33</v>
      </c>
      <c r="C7642" s="9"/>
      <c r="D7642" s="9">
        <f t="shared" si="119"/>
        <v>48.33</v>
      </c>
      <c r="E7642" s="11"/>
      <c r="F7642" s="9"/>
    </row>
    <row r="7643" s="1" customFormat="1" customHeight="1" spans="1:6">
      <c r="A7643" s="9" t="str">
        <f>"10240825521"</f>
        <v>10240825521</v>
      </c>
      <c r="B7643" s="10">
        <v>28.14</v>
      </c>
      <c r="C7643" s="9"/>
      <c r="D7643" s="9">
        <f t="shared" si="119"/>
        <v>28.14</v>
      </c>
      <c r="E7643" s="11"/>
      <c r="F7643" s="9"/>
    </row>
    <row r="7644" s="1" customFormat="1" customHeight="1" spans="1:6">
      <c r="A7644" s="9" t="str">
        <f>"10300825522"</f>
        <v>10300825522</v>
      </c>
      <c r="B7644" s="10">
        <v>51.49</v>
      </c>
      <c r="C7644" s="9"/>
      <c r="D7644" s="9">
        <f t="shared" si="119"/>
        <v>51.49</v>
      </c>
      <c r="E7644" s="11"/>
      <c r="F7644" s="9"/>
    </row>
    <row r="7645" s="1" customFormat="1" customHeight="1" spans="1:6">
      <c r="A7645" s="9" t="str">
        <f>"10280825523"</f>
        <v>10280825523</v>
      </c>
      <c r="B7645" s="10">
        <v>43.01</v>
      </c>
      <c r="C7645" s="9"/>
      <c r="D7645" s="9">
        <f t="shared" si="119"/>
        <v>43.01</v>
      </c>
      <c r="E7645" s="11"/>
      <c r="F7645" s="9"/>
    </row>
    <row r="7646" s="1" customFormat="1" customHeight="1" spans="1:6">
      <c r="A7646" s="9" t="str">
        <f>"10510825524"</f>
        <v>10510825524</v>
      </c>
      <c r="B7646" s="10">
        <v>0</v>
      </c>
      <c r="C7646" s="9"/>
      <c r="D7646" s="9">
        <f t="shared" si="119"/>
        <v>0</v>
      </c>
      <c r="E7646" s="11"/>
      <c r="F7646" s="9" t="s">
        <v>7</v>
      </c>
    </row>
    <row r="7647" s="1" customFormat="1" customHeight="1" spans="1:6">
      <c r="A7647" s="9" t="str">
        <f>"10240825525"</f>
        <v>10240825525</v>
      </c>
      <c r="B7647" s="10">
        <v>44.39</v>
      </c>
      <c r="C7647" s="9"/>
      <c r="D7647" s="9">
        <f t="shared" si="119"/>
        <v>44.39</v>
      </c>
      <c r="E7647" s="11"/>
      <c r="F7647" s="9"/>
    </row>
    <row r="7648" s="1" customFormat="1" customHeight="1" spans="1:6">
      <c r="A7648" s="9" t="str">
        <f>"10360825526"</f>
        <v>10360825526</v>
      </c>
      <c r="B7648" s="10">
        <v>0</v>
      </c>
      <c r="C7648" s="9"/>
      <c r="D7648" s="9">
        <f t="shared" si="119"/>
        <v>0</v>
      </c>
      <c r="E7648" s="11"/>
      <c r="F7648" s="9" t="s">
        <v>7</v>
      </c>
    </row>
    <row r="7649" s="1" customFormat="1" customHeight="1" spans="1:6">
      <c r="A7649" s="9" t="str">
        <f>"10380825527"</f>
        <v>10380825527</v>
      </c>
      <c r="B7649" s="10">
        <v>0</v>
      </c>
      <c r="C7649" s="9"/>
      <c r="D7649" s="9">
        <f t="shared" si="119"/>
        <v>0</v>
      </c>
      <c r="E7649" s="11"/>
      <c r="F7649" s="9" t="s">
        <v>7</v>
      </c>
    </row>
    <row r="7650" s="1" customFormat="1" customHeight="1" spans="1:6">
      <c r="A7650" s="9" t="str">
        <f>"10110825528"</f>
        <v>10110825528</v>
      </c>
      <c r="B7650" s="10">
        <v>0</v>
      </c>
      <c r="C7650" s="9"/>
      <c r="D7650" s="9">
        <f t="shared" si="119"/>
        <v>0</v>
      </c>
      <c r="E7650" s="11"/>
      <c r="F7650" s="9" t="s">
        <v>7</v>
      </c>
    </row>
    <row r="7651" s="1" customFormat="1" customHeight="1" spans="1:6">
      <c r="A7651" s="9" t="str">
        <f>"10130825529"</f>
        <v>10130825529</v>
      </c>
      <c r="B7651" s="10">
        <v>44.03</v>
      </c>
      <c r="C7651" s="9"/>
      <c r="D7651" s="9">
        <f t="shared" si="119"/>
        <v>44.03</v>
      </c>
      <c r="E7651" s="11"/>
      <c r="F7651" s="9"/>
    </row>
    <row r="7652" s="1" customFormat="1" customHeight="1" spans="1:6">
      <c r="A7652" s="9" t="str">
        <f>"10130825530"</f>
        <v>10130825530</v>
      </c>
      <c r="B7652" s="10">
        <v>0</v>
      </c>
      <c r="C7652" s="9"/>
      <c r="D7652" s="9">
        <f t="shared" si="119"/>
        <v>0</v>
      </c>
      <c r="E7652" s="11"/>
      <c r="F7652" s="9" t="s">
        <v>7</v>
      </c>
    </row>
    <row r="7653" s="1" customFormat="1" customHeight="1" spans="1:6">
      <c r="A7653" s="9" t="str">
        <f>"10180825601"</f>
        <v>10180825601</v>
      </c>
      <c r="B7653" s="10">
        <v>34.04</v>
      </c>
      <c r="C7653" s="9"/>
      <c r="D7653" s="9">
        <f t="shared" si="119"/>
        <v>34.04</v>
      </c>
      <c r="E7653" s="11"/>
      <c r="F7653" s="9"/>
    </row>
    <row r="7654" s="1" customFormat="1" customHeight="1" spans="1:6">
      <c r="A7654" s="9" t="str">
        <f>"10100825602"</f>
        <v>10100825602</v>
      </c>
      <c r="B7654" s="10">
        <v>33.42</v>
      </c>
      <c r="C7654" s="9"/>
      <c r="D7654" s="9">
        <f t="shared" si="119"/>
        <v>33.42</v>
      </c>
      <c r="E7654" s="11"/>
      <c r="F7654" s="9"/>
    </row>
    <row r="7655" s="1" customFormat="1" customHeight="1" spans="1:6">
      <c r="A7655" s="9" t="str">
        <f>"10530825603"</f>
        <v>10530825603</v>
      </c>
      <c r="B7655" s="10">
        <v>0</v>
      </c>
      <c r="C7655" s="9"/>
      <c r="D7655" s="9">
        <f t="shared" si="119"/>
        <v>0</v>
      </c>
      <c r="E7655" s="11"/>
      <c r="F7655" s="9" t="s">
        <v>7</v>
      </c>
    </row>
    <row r="7656" s="1" customFormat="1" customHeight="1" spans="1:6">
      <c r="A7656" s="9" t="str">
        <f>"10500825604"</f>
        <v>10500825604</v>
      </c>
      <c r="B7656" s="10">
        <v>47.08</v>
      </c>
      <c r="C7656" s="9"/>
      <c r="D7656" s="9">
        <f t="shared" si="119"/>
        <v>47.08</v>
      </c>
      <c r="E7656" s="11"/>
      <c r="F7656" s="9"/>
    </row>
    <row r="7657" s="1" customFormat="1" customHeight="1" spans="1:6">
      <c r="A7657" s="9" t="str">
        <f>"10530825605"</f>
        <v>10530825605</v>
      </c>
      <c r="B7657" s="10">
        <v>0</v>
      </c>
      <c r="C7657" s="9"/>
      <c r="D7657" s="9">
        <f t="shared" si="119"/>
        <v>0</v>
      </c>
      <c r="E7657" s="11"/>
      <c r="F7657" s="9" t="s">
        <v>7</v>
      </c>
    </row>
    <row r="7658" s="1" customFormat="1" customHeight="1" spans="1:6">
      <c r="A7658" s="9" t="str">
        <f>"10500825606"</f>
        <v>10500825606</v>
      </c>
      <c r="B7658" s="10">
        <v>32.16</v>
      </c>
      <c r="C7658" s="9"/>
      <c r="D7658" s="9">
        <f t="shared" si="119"/>
        <v>32.16</v>
      </c>
      <c r="E7658" s="11"/>
      <c r="F7658" s="9"/>
    </row>
    <row r="7659" s="1" customFormat="1" customHeight="1" spans="1:6">
      <c r="A7659" s="9" t="str">
        <f>"10280825607"</f>
        <v>10280825607</v>
      </c>
      <c r="B7659" s="10">
        <v>0</v>
      </c>
      <c r="C7659" s="9"/>
      <c r="D7659" s="9">
        <f t="shared" si="119"/>
        <v>0</v>
      </c>
      <c r="E7659" s="11"/>
      <c r="F7659" s="9" t="s">
        <v>7</v>
      </c>
    </row>
    <row r="7660" s="1" customFormat="1" customHeight="1" spans="1:6">
      <c r="A7660" s="9" t="str">
        <f>"10330825608"</f>
        <v>10330825608</v>
      </c>
      <c r="B7660" s="10">
        <v>37.16</v>
      </c>
      <c r="C7660" s="9"/>
      <c r="D7660" s="9">
        <f t="shared" si="119"/>
        <v>37.16</v>
      </c>
      <c r="E7660" s="11"/>
      <c r="F7660" s="9"/>
    </row>
    <row r="7661" s="1" customFormat="1" customHeight="1" spans="1:6">
      <c r="A7661" s="9" t="str">
        <f>"10450825609"</f>
        <v>10450825609</v>
      </c>
      <c r="B7661" s="10">
        <v>41.98</v>
      </c>
      <c r="C7661" s="9"/>
      <c r="D7661" s="9">
        <f t="shared" si="119"/>
        <v>41.98</v>
      </c>
      <c r="E7661" s="11"/>
      <c r="F7661" s="9"/>
    </row>
    <row r="7662" s="1" customFormat="1" customHeight="1" spans="1:6">
      <c r="A7662" s="9" t="str">
        <f>"10510825610"</f>
        <v>10510825610</v>
      </c>
      <c r="B7662" s="10">
        <v>0</v>
      </c>
      <c r="C7662" s="9"/>
      <c r="D7662" s="9">
        <f t="shared" si="119"/>
        <v>0</v>
      </c>
      <c r="E7662" s="11"/>
      <c r="F7662" s="9" t="s">
        <v>7</v>
      </c>
    </row>
    <row r="7663" s="1" customFormat="1" customHeight="1" spans="1:6">
      <c r="A7663" s="9" t="str">
        <f>"10360825611"</f>
        <v>10360825611</v>
      </c>
      <c r="B7663" s="10">
        <v>0</v>
      </c>
      <c r="C7663" s="9"/>
      <c r="D7663" s="9">
        <f t="shared" si="119"/>
        <v>0</v>
      </c>
      <c r="E7663" s="11"/>
      <c r="F7663" s="9" t="s">
        <v>7</v>
      </c>
    </row>
    <row r="7664" s="1" customFormat="1" customHeight="1" spans="1:6">
      <c r="A7664" s="9" t="str">
        <f>"10500825612"</f>
        <v>10500825612</v>
      </c>
      <c r="B7664" s="10">
        <v>30.41</v>
      </c>
      <c r="C7664" s="9"/>
      <c r="D7664" s="9">
        <f t="shared" si="119"/>
        <v>30.41</v>
      </c>
      <c r="E7664" s="11"/>
      <c r="F7664" s="9"/>
    </row>
    <row r="7665" s="1" customFormat="1" customHeight="1" spans="1:6">
      <c r="A7665" s="9" t="str">
        <f>"10060825613"</f>
        <v>10060825613</v>
      </c>
      <c r="B7665" s="10">
        <v>40.49</v>
      </c>
      <c r="C7665" s="9"/>
      <c r="D7665" s="9">
        <f t="shared" si="119"/>
        <v>40.49</v>
      </c>
      <c r="E7665" s="11"/>
      <c r="F7665" s="9"/>
    </row>
    <row r="7666" s="1" customFormat="1" customHeight="1" spans="1:6">
      <c r="A7666" s="9" t="str">
        <f>"10360825614"</f>
        <v>10360825614</v>
      </c>
      <c r="B7666" s="10">
        <v>36.91</v>
      </c>
      <c r="C7666" s="9"/>
      <c r="D7666" s="9">
        <f t="shared" si="119"/>
        <v>36.91</v>
      </c>
      <c r="E7666" s="11"/>
      <c r="F7666" s="9"/>
    </row>
    <row r="7667" s="1" customFormat="1" customHeight="1" spans="1:6">
      <c r="A7667" s="9" t="str">
        <f>"10360825615"</f>
        <v>10360825615</v>
      </c>
      <c r="B7667" s="10">
        <v>0</v>
      </c>
      <c r="C7667" s="9"/>
      <c r="D7667" s="9">
        <f t="shared" si="119"/>
        <v>0</v>
      </c>
      <c r="E7667" s="11"/>
      <c r="F7667" s="9" t="s">
        <v>7</v>
      </c>
    </row>
    <row r="7668" s="1" customFormat="1" customHeight="1" spans="1:6">
      <c r="A7668" s="9" t="str">
        <f>"10410825616"</f>
        <v>10410825616</v>
      </c>
      <c r="B7668" s="10">
        <v>0</v>
      </c>
      <c r="C7668" s="9"/>
      <c r="D7668" s="9">
        <f t="shared" si="119"/>
        <v>0</v>
      </c>
      <c r="E7668" s="11"/>
      <c r="F7668" s="9" t="s">
        <v>7</v>
      </c>
    </row>
    <row r="7669" s="1" customFormat="1" customHeight="1" spans="1:6">
      <c r="A7669" s="9" t="str">
        <f>"10530825617"</f>
        <v>10530825617</v>
      </c>
      <c r="B7669" s="10">
        <v>34.11</v>
      </c>
      <c r="C7669" s="9"/>
      <c r="D7669" s="9">
        <f t="shared" si="119"/>
        <v>34.11</v>
      </c>
      <c r="E7669" s="11"/>
      <c r="F7669" s="9"/>
    </row>
    <row r="7670" s="1" customFormat="1" customHeight="1" spans="1:6">
      <c r="A7670" s="9" t="str">
        <f>"10080825618"</f>
        <v>10080825618</v>
      </c>
      <c r="B7670" s="10">
        <v>41.73</v>
      </c>
      <c r="C7670" s="9"/>
      <c r="D7670" s="9">
        <f t="shared" si="119"/>
        <v>41.73</v>
      </c>
      <c r="E7670" s="11"/>
      <c r="F7670" s="9"/>
    </row>
    <row r="7671" s="1" customFormat="1" customHeight="1" spans="1:6">
      <c r="A7671" s="9" t="str">
        <f>"10360825619"</f>
        <v>10360825619</v>
      </c>
      <c r="B7671" s="10">
        <v>0</v>
      </c>
      <c r="C7671" s="9"/>
      <c r="D7671" s="9">
        <f t="shared" si="119"/>
        <v>0</v>
      </c>
      <c r="E7671" s="11"/>
      <c r="F7671" s="9" t="s">
        <v>7</v>
      </c>
    </row>
    <row r="7672" s="1" customFormat="1" customHeight="1" spans="1:6">
      <c r="A7672" s="9" t="str">
        <f>"10460825620"</f>
        <v>10460825620</v>
      </c>
      <c r="B7672" s="10">
        <v>38.51</v>
      </c>
      <c r="C7672" s="9"/>
      <c r="D7672" s="9">
        <f t="shared" si="119"/>
        <v>38.51</v>
      </c>
      <c r="E7672" s="11"/>
      <c r="F7672" s="9"/>
    </row>
    <row r="7673" s="1" customFormat="1" customHeight="1" spans="1:6">
      <c r="A7673" s="9" t="str">
        <f>"10380825621"</f>
        <v>10380825621</v>
      </c>
      <c r="B7673" s="10">
        <v>35.9</v>
      </c>
      <c r="C7673" s="9"/>
      <c r="D7673" s="9">
        <f t="shared" si="119"/>
        <v>35.9</v>
      </c>
      <c r="E7673" s="11"/>
      <c r="F7673" s="9"/>
    </row>
    <row r="7674" s="1" customFormat="1" customHeight="1" spans="1:6">
      <c r="A7674" s="9" t="str">
        <f>"10010825622"</f>
        <v>10010825622</v>
      </c>
      <c r="B7674" s="10">
        <v>0</v>
      </c>
      <c r="C7674" s="9"/>
      <c r="D7674" s="9">
        <f t="shared" si="119"/>
        <v>0</v>
      </c>
      <c r="E7674" s="11"/>
      <c r="F7674" s="9" t="s">
        <v>7</v>
      </c>
    </row>
    <row r="7675" s="1" customFormat="1" customHeight="1" spans="1:6">
      <c r="A7675" s="9" t="str">
        <f>"20270825623"</f>
        <v>20270825623</v>
      </c>
      <c r="B7675" s="10">
        <v>0</v>
      </c>
      <c r="C7675" s="9"/>
      <c r="D7675" s="9">
        <f t="shared" si="119"/>
        <v>0</v>
      </c>
      <c r="E7675" s="11"/>
      <c r="F7675" s="9" t="s">
        <v>7</v>
      </c>
    </row>
    <row r="7676" s="1" customFormat="1" customHeight="1" spans="1:6">
      <c r="A7676" s="9" t="str">
        <f>"10360825624"</f>
        <v>10360825624</v>
      </c>
      <c r="B7676" s="10">
        <v>37.26</v>
      </c>
      <c r="C7676" s="9"/>
      <c r="D7676" s="9">
        <f t="shared" si="119"/>
        <v>37.26</v>
      </c>
      <c r="E7676" s="11"/>
      <c r="F7676" s="9"/>
    </row>
    <row r="7677" s="1" customFormat="1" customHeight="1" spans="1:6">
      <c r="A7677" s="9" t="str">
        <f>"10330825625"</f>
        <v>10330825625</v>
      </c>
      <c r="B7677" s="10">
        <v>0</v>
      </c>
      <c r="C7677" s="9"/>
      <c r="D7677" s="9">
        <f t="shared" si="119"/>
        <v>0</v>
      </c>
      <c r="E7677" s="11"/>
      <c r="F7677" s="9" t="s">
        <v>7</v>
      </c>
    </row>
    <row r="7678" s="1" customFormat="1" customHeight="1" spans="1:6">
      <c r="A7678" s="9" t="str">
        <f>"10360825626"</f>
        <v>10360825626</v>
      </c>
      <c r="B7678" s="10">
        <v>0</v>
      </c>
      <c r="C7678" s="9"/>
      <c r="D7678" s="9">
        <f t="shared" si="119"/>
        <v>0</v>
      </c>
      <c r="E7678" s="11"/>
      <c r="F7678" s="9" t="s">
        <v>7</v>
      </c>
    </row>
    <row r="7679" s="1" customFormat="1" customHeight="1" spans="1:6">
      <c r="A7679" s="9" t="str">
        <f>"10530825627"</f>
        <v>10530825627</v>
      </c>
      <c r="B7679" s="10">
        <v>38.15</v>
      </c>
      <c r="C7679" s="9"/>
      <c r="D7679" s="9">
        <f t="shared" si="119"/>
        <v>38.15</v>
      </c>
      <c r="E7679" s="11"/>
      <c r="F7679" s="9"/>
    </row>
    <row r="7680" s="1" customFormat="1" customHeight="1" spans="1:6">
      <c r="A7680" s="9" t="str">
        <f>"10360825628"</f>
        <v>10360825628</v>
      </c>
      <c r="B7680" s="10">
        <v>48.73</v>
      </c>
      <c r="C7680" s="9"/>
      <c r="D7680" s="9">
        <f t="shared" si="119"/>
        <v>48.73</v>
      </c>
      <c r="E7680" s="11"/>
      <c r="F7680" s="9"/>
    </row>
    <row r="7681" s="1" customFormat="1" customHeight="1" spans="1:6">
      <c r="A7681" s="9" t="str">
        <f>"10130825629"</f>
        <v>10130825629</v>
      </c>
      <c r="B7681" s="10">
        <v>41.57</v>
      </c>
      <c r="C7681" s="9"/>
      <c r="D7681" s="9">
        <f t="shared" si="119"/>
        <v>41.57</v>
      </c>
      <c r="E7681" s="11"/>
      <c r="F7681" s="9"/>
    </row>
    <row r="7682" s="1" customFormat="1" customHeight="1" spans="1:6">
      <c r="A7682" s="9" t="str">
        <f>"10110825630"</f>
        <v>10110825630</v>
      </c>
      <c r="B7682" s="10">
        <v>0</v>
      </c>
      <c r="C7682" s="9"/>
      <c r="D7682" s="9">
        <f t="shared" si="119"/>
        <v>0</v>
      </c>
      <c r="E7682" s="11"/>
      <c r="F7682" s="9" t="s">
        <v>7</v>
      </c>
    </row>
    <row r="7683" s="1" customFormat="1" customHeight="1" spans="1:6">
      <c r="A7683" s="9" t="str">
        <f>"10060825701"</f>
        <v>10060825701</v>
      </c>
      <c r="B7683" s="10">
        <v>0</v>
      </c>
      <c r="C7683" s="9"/>
      <c r="D7683" s="9">
        <f t="shared" ref="D7683:D7746" si="120">SUM(B7683:C7683)</f>
        <v>0</v>
      </c>
      <c r="E7683" s="11"/>
      <c r="F7683" s="9" t="s">
        <v>7</v>
      </c>
    </row>
    <row r="7684" s="1" customFormat="1" customHeight="1" spans="1:6">
      <c r="A7684" s="9" t="str">
        <f>"10230825702"</f>
        <v>10230825702</v>
      </c>
      <c r="B7684" s="10">
        <v>0</v>
      </c>
      <c r="C7684" s="9"/>
      <c r="D7684" s="9">
        <f t="shared" si="120"/>
        <v>0</v>
      </c>
      <c r="E7684" s="11"/>
      <c r="F7684" s="9" t="s">
        <v>7</v>
      </c>
    </row>
    <row r="7685" s="1" customFormat="1" customHeight="1" spans="1:6">
      <c r="A7685" s="9" t="str">
        <f>"10420825703"</f>
        <v>10420825703</v>
      </c>
      <c r="B7685" s="10">
        <v>37.68</v>
      </c>
      <c r="C7685" s="9"/>
      <c r="D7685" s="9">
        <f t="shared" si="120"/>
        <v>37.68</v>
      </c>
      <c r="E7685" s="11"/>
      <c r="F7685" s="9"/>
    </row>
    <row r="7686" s="1" customFormat="1" customHeight="1" spans="1:6">
      <c r="A7686" s="9" t="str">
        <f>"10410825704"</f>
        <v>10410825704</v>
      </c>
      <c r="B7686" s="10">
        <v>42.31</v>
      </c>
      <c r="C7686" s="9"/>
      <c r="D7686" s="9">
        <f t="shared" si="120"/>
        <v>42.31</v>
      </c>
      <c r="E7686" s="11"/>
      <c r="F7686" s="9"/>
    </row>
    <row r="7687" s="1" customFormat="1" customHeight="1" spans="1:6">
      <c r="A7687" s="9" t="str">
        <f>"10300825705"</f>
        <v>10300825705</v>
      </c>
      <c r="B7687" s="10">
        <v>51.43</v>
      </c>
      <c r="C7687" s="9"/>
      <c r="D7687" s="9">
        <f t="shared" si="120"/>
        <v>51.43</v>
      </c>
      <c r="E7687" s="11"/>
      <c r="F7687" s="9"/>
    </row>
    <row r="7688" s="1" customFormat="1" customHeight="1" spans="1:6">
      <c r="A7688" s="9" t="str">
        <f>"10360825706"</f>
        <v>10360825706</v>
      </c>
      <c r="B7688" s="10">
        <v>40.36</v>
      </c>
      <c r="C7688" s="9"/>
      <c r="D7688" s="9">
        <f t="shared" si="120"/>
        <v>40.36</v>
      </c>
      <c r="E7688" s="11"/>
      <c r="F7688" s="9"/>
    </row>
    <row r="7689" s="1" customFormat="1" customHeight="1" spans="1:6">
      <c r="A7689" s="9" t="str">
        <f>"10360825707"</f>
        <v>10360825707</v>
      </c>
      <c r="B7689" s="10">
        <v>43.15</v>
      </c>
      <c r="C7689" s="9"/>
      <c r="D7689" s="9">
        <f t="shared" si="120"/>
        <v>43.15</v>
      </c>
      <c r="E7689" s="11"/>
      <c r="F7689" s="9"/>
    </row>
    <row r="7690" s="1" customFormat="1" customHeight="1" spans="1:6">
      <c r="A7690" s="9" t="str">
        <f>"20270825708"</f>
        <v>20270825708</v>
      </c>
      <c r="B7690" s="10">
        <v>44.41</v>
      </c>
      <c r="C7690" s="9"/>
      <c r="D7690" s="9">
        <f t="shared" si="120"/>
        <v>44.41</v>
      </c>
      <c r="E7690" s="11"/>
      <c r="F7690" s="9"/>
    </row>
    <row r="7691" s="1" customFormat="1" customHeight="1" spans="1:6">
      <c r="A7691" s="9" t="str">
        <f>"10280825709"</f>
        <v>10280825709</v>
      </c>
      <c r="B7691" s="10">
        <v>44.9</v>
      </c>
      <c r="C7691" s="9"/>
      <c r="D7691" s="9">
        <f t="shared" si="120"/>
        <v>44.9</v>
      </c>
      <c r="E7691" s="11"/>
      <c r="F7691" s="9"/>
    </row>
    <row r="7692" s="1" customFormat="1" customHeight="1" spans="1:6">
      <c r="A7692" s="9" t="str">
        <f>"10150825710"</f>
        <v>10150825710</v>
      </c>
      <c r="B7692" s="10">
        <v>0</v>
      </c>
      <c r="C7692" s="9"/>
      <c r="D7692" s="9">
        <f t="shared" si="120"/>
        <v>0</v>
      </c>
      <c r="E7692" s="11"/>
      <c r="F7692" s="9" t="s">
        <v>7</v>
      </c>
    </row>
    <row r="7693" s="1" customFormat="1" customHeight="1" spans="1:6">
      <c r="A7693" s="9" t="str">
        <f>"10230825711"</f>
        <v>10230825711</v>
      </c>
      <c r="B7693" s="10">
        <v>0</v>
      </c>
      <c r="C7693" s="9"/>
      <c r="D7693" s="9">
        <f t="shared" si="120"/>
        <v>0</v>
      </c>
      <c r="E7693" s="11"/>
      <c r="F7693" s="9" t="s">
        <v>7</v>
      </c>
    </row>
    <row r="7694" s="1" customFormat="1" customHeight="1" spans="1:6">
      <c r="A7694" s="9" t="str">
        <f>"10080825712"</f>
        <v>10080825712</v>
      </c>
      <c r="B7694" s="10">
        <v>37.34</v>
      </c>
      <c r="C7694" s="9"/>
      <c r="D7694" s="9">
        <f t="shared" si="120"/>
        <v>37.34</v>
      </c>
      <c r="E7694" s="11"/>
      <c r="F7694" s="9"/>
    </row>
    <row r="7695" s="1" customFormat="1" customHeight="1" spans="1:6">
      <c r="A7695" s="9" t="str">
        <f>"10360825713"</f>
        <v>10360825713</v>
      </c>
      <c r="B7695" s="10">
        <v>32.99</v>
      </c>
      <c r="C7695" s="9"/>
      <c r="D7695" s="9">
        <f t="shared" si="120"/>
        <v>32.99</v>
      </c>
      <c r="E7695" s="11"/>
      <c r="F7695" s="9"/>
    </row>
    <row r="7696" s="1" customFormat="1" customHeight="1" spans="1:6">
      <c r="A7696" s="9" t="str">
        <f>"20180825714"</f>
        <v>20180825714</v>
      </c>
      <c r="B7696" s="10">
        <v>33.5</v>
      </c>
      <c r="C7696" s="9"/>
      <c r="D7696" s="9">
        <f t="shared" si="120"/>
        <v>33.5</v>
      </c>
      <c r="E7696" s="11"/>
      <c r="F7696" s="9"/>
    </row>
    <row r="7697" s="1" customFormat="1" customHeight="1" spans="1:6">
      <c r="A7697" s="9" t="str">
        <f>"10530825715"</f>
        <v>10530825715</v>
      </c>
      <c r="B7697" s="10">
        <v>0</v>
      </c>
      <c r="C7697" s="9"/>
      <c r="D7697" s="9">
        <f t="shared" si="120"/>
        <v>0</v>
      </c>
      <c r="E7697" s="11"/>
      <c r="F7697" s="9" t="s">
        <v>7</v>
      </c>
    </row>
    <row r="7698" s="1" customFormat="1" customHeight="1" spans="1:6">
      <c r="A7698" s="9" t="str">
        <f>"10150825716"</f>
        <v>10150825716</v>
      </c>
      <c r="B7698" s="10">
        <v>0</v>
      </c>
      <c r="C7698" s="9"/>
      <c r="D7698" s="9">
        <f t="shared" si="120"/>
        <v>0</v>
      </c>
      <c r="E7698" s="11"/>
      <c r="F7698" s="9" t="s">
        <v>7</v>
      </c>
    </row>
    <row r="7699" s="1" customFormat="1" customHeight="1" spans="1:6">
      <c r="A7699" s="9" t="str">
        <f>"10460825717"</f>
        <v>10460825717</v>
      </c>
      <c r="B7699" s="10">
        <v>0</v>
      </c>
      <c r="C7699" s="9"/>
      <c r="D7699" s="9">
        <f t="shared" si="120"/>
        <v>0</v>
      </c>
      <c r="E7699" s="11"/>
      <c r="F7699" s="9" t="s">
        <v>7</v>
      </c>
    </row>
    <row r="7700" s="1" customFormat="1" customHeight="1" spans="1:6">
      <c r="A7700" s="9" t="str">
        <f>"10430825718"</f>
        <v>10430825718</v>
      </c>
      <c r="B7700" s="10">
        <v>37.4</v>
      </c>
      <c r="C7700" s="9"/>
      <c r="D7700" s="9">
        <f t="shared" si="120"/>
        <v>37.4</v>
      </c>
      <c r="E7700" s="11"/>
      <c r="F7700" s="9"/>
    </row>
    <row r="7701" s="1" customFormat="1" customHeight="1" spans="1:6">
      <c r="A7701" s="9" t="str">
        <f>"10360825719"</f>
        <v>10360825719</v>
      </c>
      <c r="B7701" s="10">
        <v>38.92</v>
      </c>
      <c r="C7701" s="9"/>
      <c r="D7701" s="9">
        <f t="shared" si="120"/>
        <v>38.92</v>
      </c>
      <c r="E7701" s="11"/>
      <c r="F7701" s="9"/>
    </row>
    <row r="7702" s="1" customFormat="1" customHeight="1" spans="1:6">
      <c r="A7702" s="9" t="str">
        <f>"10140825720"</f>
        <v>10140825720</v>
      </c>
      <c r="B7702" s="10">
        <v>0</v>
      </c>
      <c r="C7702" s="9"/>
      <c r="D7702" s="9">
        <f t="shared" si="120"/>
        <v>0</v>
      </c>
      <c r="E7702" s="11"/>
      <c r="F7702" s="9" t="s">
        <v>7</v>
      </c>
    </row>
    <row r="7703" s="1" customFormat="1" customHeight="1" spans="1:6">
      <c r="A7703" s="9" t="str">
        <f>"10360825721"</f>
        <v>10360825721</v>
      </c>
      <c r="B7703" s="10">
        <v>0</v>
      </c>
      <c r="C7703" s="9"/>
      <c r="D7703" s="9">
        <f t="shared" si="120"/>
        <v>0</v>
      </c>
      <c r="E7703" s="11"/>
      <c r="F7703" s="9" t="s">
        <v>7</v>
      </c>
    </row>
    <row r="7704" s="1" customFormat="1" customHeight="1" spans="1:6">
      <c r="A7704" s="9" t="str">
        <f>"10360825722"</f>
        <v>10360825722</v>
      </c>
      <c r="B7704" s="10">
        <v>37.87</v>
      </c>
      <c r="C7704" s="9"/>
      <c r="D7704" s="9">
        <f t="shared" si="120"/>
        <v>37.87</v>
      </c>
      <c r="E7704" s="11"/>
      <c r="F7704" s="9"/>
    </row>
    <row r="7705" s="1" customFormat="1" customHeight="1" spans="1:6">
      <c r="A7705" s="9" t="str">
        <f>"10340825723"</f>
        <v>10340825723</v>
      </c>
      <c r="B7705" s="10">
        <v>0</v>
      </c>
      <c r="C7705" s="9"/>
      <c r="D7705" s="9">
        <f t="shared" si="120"/>
        <v>0</v>
      </c>
      <c r="E7705" s="11"/>
      <c r="F7705" s="9" t="s">
        <v>7</v>
      </c>
    </row>
    <row r="7706" s="1" customFormat="1" customHeight="1" spans="1:6">
      <c r="A7706" s="9" t="str">
        <f>"10300825724"</f>
        <v>10300825724</v>
      </c>
      <c r="B7706" s="10">
        <v>43.98</v>
      </c>
      <c r="C7706" s="9">
        <v>10</v>
      </c>
      <c r="D7706" s="9">
        <f t="shared" si="120"/>
        <v>53.98</v>
      </c>
      <c r="E7706" s="12" t="s">
        <v>8</v>
      </c>
      <c r="F7706" s="9"/>
    </row>
    <row r="7707" s="1" customFormat="1" customHeight="1" spans="1:6">
      <c r="A7707" s="9" t="str">
        <f>"10330825725"</f>
        <v>10330825725</v>
      </c>
      <c r="B7707" s="10">
        <v>0</v>
      </c>
      <c r="C7707" s="9"/>
      <c r="D7707" s="9">
        <f t="shared" si="120"/>
        <v>0</v>
      </c>
      <c r="E7707" s="11"/>
      <c r="F7707" s="9" t="s">
        <v>7</v>
      </c>
    </row>
    <row r="7708" s="1" customFormat="1" customHeight="1" spans="1:6">
      <c r="A7708" s="9" t="str">
        <f>"10040825726"</f>
        <v>10040825726</v>
      </c>
      <c r="B7708" s="10">
        <v>44.11</v>
      </c>
      <c r="C7708" s="9"/>
      <c r="D7708" s="9">
        <f t="shared" si="120"/>
        <v>44.11</v>
      </c>
      <c r="E7708" s="11"/>
      <c r="F7708" s="9"/>
    </row>
    <row r="7709" s="1" customFormat="1" customHeight="1" spans="1:6">
      <c r="A7709" s="9" t="str">
        <f>"10060825727"</f>
        <v>10060825727</v>
      </c>
      <c r="B7709" s="10">
        <v>0</v>
      </c>
      <c r="C7709" s="9"/>
      <c r="D7709" s="9">
        <f t="shared" si="120"/>
        <v>0</v>
      </c>
      <c r="E7709" s="11"/>
      <c r="F7709" s="9" t="s">
        <v>7</v>
      </c>
    </row>
    <row r="7710" s="1" customFormat="1" customHeight="1" spans="1:6">
      <c r="A7710" s="9" t="str">
        <f>"10360825728"</f>
        <v>10360825728</v>
      </c>
      <c r="B7710" s="10">
        <v>36.23</v>
      </c>
      <c r="C7710" s="9"/>
      <c r="D7710" s="9">
        <f t="shared" si="120"/>
        <v>36.23</v>
      </c>
      <c r="E7710" s="11"/>
      <c r="F7710" s="9"/>
    </row>
    <row r="7711" s="1" customFormat="1" customHeight="1" spans="1:6">
      <c r="A7711" s="9" t="str">
        <f>"10270825729"</f>
        <v>10270825729</v>
      </c>
      <c r="B7711" s="10">
        <v>36.07</v>
      </c>
      <c r="C7711" s="9"/>
      <c r="D7711" s="9">
        <f t="shared" si="120"/>
        <v>36.07</v>
      </c>
      <c r="E7711" s="11"/>
      <c r="F7711" s="9"/>
    </row>
    <row r="7712" s="1" customFormat="1" customHeight="1" spans="1:6">
      <c r="A7712" s="9" t="str">
        <f>"10280825730"</f>
        <v>10280825730</v>
      </c>
      <c r="B7712" s="10">
        <v>47.56</v>
      </c>
      <c r="C7712" s="9"/>
      <c r="D7712" s="9">
        <f t="shared" si="120"/>
        <v>47.56</v>
      </c>
      <c r="E7712" s="11"/>
      <c r="F7712" s="9"/>
    </row>
    <row r="7713" s="1" customFormat="1" customHeight="1" spans="1:6">
      <c r="A7713" s="9" t="str">
        <f>"10080825801"</f>
        <v>10080825801</v>
      </c>
      <c r="B7713" s="10">
        <v>72.52</v>
      </c>
      <c r="C7713" s="9"/>
      <c r="D7713" s="9">
        <f t="shared" si="120"/>
        <v>72.52</v>
      </c>
      <c r="E7713" s="11"/>
      <c r="F7713" s="9"/>
    </row>
    <row r="7714" s="1" customFormat="1" customHeight="1" spans="1:6">
      <c r="A7714" s="9" t="str">
        <f>"10140825802"</f>
        <v>10140825802</v>
      </c>
      <c r="B7714" s="10">
        <v>44.55</v>
      </c>
      <c r="C7714" s="9"/>
      <c r="D7714" s="9">
        <f t="shared" si="120"/>
        <v>44.55</v>
      </c>
      <c r="E7714" s="11"/>
      <c r="F7714" s="9"/>
    </row>
    <row r="7715" s="1" customFormat="1" customHeight="1" spans="1:6">
      <c r="A7715" s="9" t="str">
        <f>"10070825803"</f>
        <v>10070825803</v>
      </c>
      <c r="B7715" s="10">
        <v>46.31</v>
      </c>
      <c r="C7715" s="9"/>
      <c r="D7715" s="9">
        <f t="shared" si="120"/>
        <v>46.31</v>
      </c>
      <c r="E7715" s="11"/>
      <c r="F7715" s="9"/>
    </row>
    <row r="7716" s="1" customFormat="1" customHeight="1" spans="1:6">
      <c r="A7716" s="9" t="str">
        <f>"10270825804"</f>
        <v>10270825804</v>
      </c>
      <c r="B7716" s="10">
        <v>0</v>
      </c>
      <c r="C7716" s="9"/>
      <c r="D7716" s="9">
        <f t="shared" si="120"/>
        <v>0</v>
      </c>
      <c r="E7716" s="11"/>
      <c r="F7716" s="9" t="s">
        <v>7</v>
      </c>
    </row>
    <row r="7717" s="1" customFormat="1" customHeight="1" spans="1:6">
      <c r="A7717" s="9" t="str">
        <f>"10100825805"</f>
        <v>10100825805</v>
      </c>
      <c r="B7717" s="10">
        <v>0</v>
      </c>
      <c r="C7717" s="9"/>
      <c r="D7717" s="9">
        <f t="shared" si="120"/>
        <v>0</v>
      </c>
      <c r="E7717" s="11"/>
      <c r="F7717" s="9" t="s">
        <v>7</v>
      </c>
    </row>
    <row r="7718" s="1" customFormat="1" customHeight="1" spans="1:6">
      <c r="A7718" s="9" t="str">
        <f>"10230825806"</f>
        <v>10230825806</v>
      </c>
      <c r="B7718" s="10">
        <v>35.48</v>
      </c>
      <c r="C7718" s="9"/>
      <c r="D7718" s="9">
        <f t="shared" si="120"/>
        <v>35.48</v>
      </c>
      <c r="E7718" s="11"/>
      <c r="F7718" s="9"/>
    </row>
    <row r="7719" s="1" customFormat="1" customHeight="1" spans="1:6">
      <c r="A7719" s="9" t="str">
        <f>"10230825807"</f>
        <v>10230825807</v>
      </c>
      <c r="B7719" s="10">
        <v>55.01</v>
      </c>
      <c r="C7719" s="9"/>
      <c r="D7719" s="9">
        <f t="shared" si="120"/>
        <v>55.01</v>
      </c>
      <c r="E7719" s="11"/>
      <c r="F7719" s="9"/>
    </row>
    <row r="7720" s="1" customFormat="1" customHeight="1" spans="1:6">
      <c r="A7720" s="9" t="str">
        <f>"10330825808"</f>
        <v>10330825808</v>
      </c>
      <c r="B7720" s="10">
        <v>45.34</v>
      </c>
      <c r="C7720" s="9"/>
      <c r="D7720" s="9">
        <f t="shared" si="120"/>
        <v>45.34</v>
      </c>
      <c r="E7720" s="11"/>
      <c r="F7720" s="9"/>
    </row>
    <row r="7721" s="1" customFormat="1" customHeight="1" spans="1:6">
      <c r="A7721" s="9" t="str">
        <f>"10130825809"</f>
        <v>10130825809</v>
      </c>
      <c r="B7721" s="10">
        <v>0</v>
      </c>
      <c r="C7721" s="9"/>
      <c r="D7721" s="9">
        <f t="shared" si="120"/>
        <v>0</v>
      </c>
      <c r="E7721" s="11"/>
      <c r="F7721" s="9" t="s">
        <v>7</v>
      </c>
    </row>
    <row r="7722" s="1" customFormat="1" customHeight="1" spans="1:6">
      <c r="A7722" s="9" t="str">
        <f>"10360825810"</f>
        <v>10360825810</v>
      </c>
      <c r="B7722" s="10">
        <v>38.31</v>
      </c>
      <c r="C7722" s="9"/>
      <c r="D7722" s="9">
        <f t="shared" si="120"/>
        <v>38.31</v>
      </c>
      <c r="E7722" s="11"/>
      <c r="F7722" s="9"/>
    </row>
    <row r="7723" s="1" customFormat="1" customHeight="1" spans="1:6">
      <c r="A7723" s="9" t="str">
        <f>"10180825811"</f>
        <v>10180825811</v>
      </c>
      <c r="B7723" s="10">
        <v>35.31</v>
      </c>
      <c r="C7723" s="9"/>
      <c r="D7723" s="9">
        <f t="shared" si="120"/>
        <v>35.31</v>
      </c>
      <c r="E7723" s="11"/>
      <c r="F7723" s="9"/>
    </row>
    <row r="7724" s="1" customFormat="1" customHeight="1" spans="1:6">
      <c r="A7724" s="9" t="str">
        <f>"10270825812"</f>
        <v>10270825812</v>
      </c>
      <c r="B7724" s="10">
        <v>0</v>
      </c>
      <c r="C7724" s="9"/>
      <c r="D7724" s="9">
        <f t="shared" si="120"/>
        <v>0</v>
      </c>
      <c r="E7724" s="11"/>
      <c r="F7724" s="9" t="s">
        <v>7</v>
      </c>
    </row>
    <row r="7725" s="1" customFormat="1" customHeight="1" spans="1:6">
      <c r="A7725" s="9" t="str">
        <f>"10120825813"</f>
        <v>10120825813</v>
      </c>
      <c r="B7725" s="10">
        <v>51.65</v>
      </c>
      <c r="C7725" s="9"/>
      <c r="D7725" s="9">
        <f t="shared" si="120"/>
        <v>51.65</v>
      </c>
      <c r="E7725" s="11"/>
      <c r="F7725" s="9"/>
    </row>
    <row r="7726" s="1" customFormat="1" customHeight="1" spans="1:6">
      <c r="A7726" s="9" t="str">
        <f>"10360825814"</f>
        <v>10360825814</v>
      </c>
      <c r="B7726" s="10">
        <v>0</v>
      </c>
      <c r="C7726" s="9"/>
      <c r="D7726" s="9">
        <f t="shared" si="120"/>
        <v>0</v>
      </c>
      <c r="E7726" s="11"/>
      <c r="F7726" s="9" t="s">
        <v>7</v>
      </c>
    </row>
    <row r="7727" s="1" customFormat="1" customHeight="1" spans="1:6">
      <c r="A7727" s="9" t="str">
        <f>"10100825815"</f>
        <v>10100825815</v>
      </c>
      <c r="B7727" s="10">
        <v>0</v>
      </c>
      <c r="C7727" s="9"/>
      <c r="D7727" s="9">
        <f t="shared" si="120"/>
        <v>0</v>
      </c>
      <c r="E7727" s="11"/>
      <c r="F7727" s="9" t="s">
        <v>7</v>
      </c>
    </row>
    <row r="7728" s="1" customFormat="1" customHeight="1" spans="1:6">
      <c r="A7728" s="9" t="str">
        <f>"10350825816"</f>
        <v>10350825816</v>
      </c>
      <c r="B7728" s="10">
        <v>33.7</v>
      </c>
      <c r="C7728" s="9"/>
      <c r="D7728" s="9">
        <f t="shared" si="120"/>
        <v>33.7</v>
      </c>
      <c r="E7728" s="11"/>
      <c r="F7728" s="9"/>
    </row>
    <row r="7729" s="1" customFormat="1" customHeight="1" spans="1:6">
      <c r="A7729" s="9" t="str">
        <f>"10090825817"</f>
        <v>10090825817</v>
      </c>
      <c r="B7729" s="10">
        <v>51.56</v>
      </c>
      <c r="C7729" s="9"/>
      <c r="D7729" s="9">
        <f t="shared" si="120"/>
        <v>51.56</v>
      </c>
      <c r="E7729" s="11"/>
      <c r="F7729" s="9"/>
    </row>
    <row r="7730" s="1" customFormat="1" customHeight="1" spans="1:6">
      <c r="A7730" s="9" t="str">
        <f>"10360825818"</f>
        <v>10360825818</v>
      </c>
      <c r="B7730" s="10">
        <v>45.26</v>
      </c>
      <c r="C7730" s="9"/>
      <c r="D7730" s="9">
        <f t="shared" si="120"/>
        <v>45.26</v>
      </c>
      <c r="E7730" s="11"/>
      <c r="F7730" s="9"/>
    </row>
    <row r="7731" s="1" customFormat="1" customHeight="1" spans="1:6">
      <c r="A7731" s="9" t="str">
        <f>"10210825819"</f>
        <v>10210825819</v>
      </c>
      <c r="B7731" s="10">
        <v>33.45</v>
      </c>
      <c r="C7731" s="9"/>
      <c r="D7731" s="9">
        <f t="shared" si="120"/>
        <v>33.45</v>
      </c>
      <c r="E7731" s="11"/>
      <c r="F7731" s="9"/>
    </row>
    <row r="7732" s="1" customFormat="1" customHeight="1" spans="1:6">
      <c r="A7732" s="9" t="str">
        <f>"10510825820"</f>
        <v>10510825820</v>
      </c>
      <c r="B7732" s="10">
        <v>0</v>
      </c>
      <c r="C7732" s="9"/>
      <c r="D7732" s="9">
        <f t="shared" si="120"/>
        <v>0</v>
      </c>
      <c r="E7732" s="11"/>
      <c r="F7732" s="9" t="s">
        <v>7</v>
      </c>
    </row>
    <row r="7733" s="1" customFormat="1" customHeight="1" spans="1:6">
      <c r="A7733" s="9" t="str">
        <f>"10140825821"</f>
        <v>10140825821</v>
      </c>
      <c r="B7733" s="10">
        <v>0</v>
      </c>
      <c r="C7733" s="9"/>
      <c r="D7733" s="9">
        <f t="shared" si="120"/>
        <v>0</v>
      </c>
      <c r="E7733" s="11"/>
      <c r="F7733" s="9" t="s">
        <v>7</v>
      </c>
    </row>
    <row r="7734" s="1" customFormat="1" customHeight="1" spans="1:6">
      <c r="A7734" s="9" t="str">
        <f>"10130825822"</f>
        <v>10130825822</v>
      </c>
      <c r="B7734" s="10">
        <v>42.06</v>
      </c>
      <c r="C7734" s="9"/>
      <c r="D7734" s="9">
        <f t="shared" si="120"/>
        <v>42.06</v>
      </c>
      <c r="E7734" s="11"/>
      <c r="F7734" s="9"/>
    </row>
    <row r="7735" s="1" customFormat="1" customHeight="1" spans="1:6">
      <c r="A7735" s="9" t="str">
        <f>"10260825823"</f>
        <v>10260825823</v>
      </c>
      <c r="B7735" s="10">
        <v>45.14</v>
      </c>
      <c r="C7735" s="9"/>
      <c r="D7735" s="9">
        <f t="shared" si="120"/>
        <v>45.14</v>
      </c>
      <c r="E7735" s="11"/>
      <c r="F7735" s="9"/>
    </row>
    <row r="7736" s="1" customFormat="1" customHeight="1" spans="1:6">
      <c r="A7736" s="9" t="str">
        <f>"10490825824"</f>
        <v>10490825824</v>
      </c>
      <c r="B7736" s="10">
        <v>39.05</v>
      </c>
      <c r="C7736" s="9"/>
      <c r="D7736" s="9">
        <f t="shared" si="120"/>
        <v>39.05</v>
      </c>
      <c r="E7736" s="11"/>
      <c r="F7736" s="9"/>
    </row>
    <row r="7737" s="1" customFormat="1" customHeight="1" spans="1:6">
      <c r="A7737" s="9" t="str">
        <f>"10210825825"</f>
        <v>10210825825</v>
      </c>
      <c r="B7737" s="10">
        <v>0</v>
      </c>
      <c r="C7737" s="9"/>
      <c r="D7737" s="9">
        <f t="shared" si="120"/>
        <v>0</v>
      </c>
      <c r="E7737" s="11"/>
      <c r="F7737" s="9" t="s">
        <v>7</v>
      </c>
    </row>
    <row r="7738" s="1" customFormat="1" customHeight="1" spans="1:6">
      <c r="A7738" s="9" t="str">
        <f>"10320825826"</f>
        <v>10320825826</v>
      </c>
      <c r="B7738" s="10">
        <v>42.85</v>
      </c>
      <c r="C7738" s="9"/>
      <c r="D7738" s="9">
        <f t="shared" si="120"/>
        <v>42.85</v>
      </c>
      <c r="E7738" s="11"/>
      <c r="F7738" s="9"/>
    </row>
    <row r="7739" s="1" customFormat="1" customHeight="1" spans="1:6">
      <c r="A7739" s="9" t="str">
        <f>"10190825827"</f>
        <v>10190825827</v>
      </c>
      <c r="B7739" s="10">
        <v>42.5</v>
      </c>
      <c r="C7739" s="9"/>
      <c r="D7739" s="9">
        <f t="shared" si="120"/>
        <v>42.5</v>
      </c>
      <c r="E7739" s="11"/>
      <c r="F7739" s="9"/>
    </row>
    <row r="7740" s="1" customFormat="1" customHeight="1" spans="1:6">
      <c r="A7740" s="9" t="str">
        <f>"10140825828"</f>
        <v>10140825828</v>
      </c>
      <c r="B7740" s="10">
        <v>44.31</v>
      </c>
      <c r="C7740" s="9"/>
      <c r="D7740" s="9">
        <f t="shared" si="120"/>
        <v>44.31</v>
      </c>
      <c r="E7740" s="11"/>
      <c r="F7740" s="9"/>
    </row>
    <row r="7741" s="1" customFormat="1" customHeight="1" spans="1:6">
      <c r="A7741" s="9" t="str">
        <f>"10360825829"</f>
        <v>10360825829</v>
      </c>
      <c r="B7741" s="10">
        <v>39.32</v>
      </c>
      <c r="C7741" s="9"/>
      <c r="D7741" s="9">
        <f t="shared" si="120"/>
        <v>39.32</v>
      </c>
      <c r="E7741" s="11"/>
      <c r="F7741" s="9"/>
    </row>
    <row r="7742" s="1" customFormat="1" customHeight="1" spans="1:6">
      <c r="A7742" s="9" t="str">
        <f>"10360825830"</f>
        <v>10360825830</v>
      </c>
      <c r="B7742" s="10">
        <v>43.94</v>
      </c>
      <c r="C7742" s="9"/>
      <c r="D7742" s="9">
        <f t="shared" si="120"/>
        <v>43.94</v>
      </c>
      <c r="E7742" s="11"/>
      <c r="F7742" s="9"/>
    </row>
    <row r="7743" s="1" customFormat="1" customHeight="1" spans="1:6">
      <c r="A7743" s="9" t="str">
        <f>"10110825901"</f>
        <v>10110825901</v>
      </c>
      <c r="B7743" s="10">
        <v>37.43</v>
      </c>
      <c r="C7743" s="9"/>
      <c r="D7743" s="9">
        <f t="shared" si="120"/>
        <v>37.43</v>
      </c>
      <c r="E7743" s="11"/>
      <c r="F7743" s="9"/>
    </row>
    <row r="7744" s="1" customFormat="1" customHeight="1" spans="1:6">
      <c r="A7744" s="9" t="str">
        <f>"10340825902"</f>
        <v>10340825902</v>
      </c>
      <c r="B7744" s="10">
        <v>36.21</v>
      </c>
      <c r="C7744" s="9"/>
      <c r="D7744" s="9">
        <f t="shared" si="120"/>
        <v>36.21</v>
      </c>
      <c r="E7744" s="11"/>
      <c r="F7744" s="9"/>
    </row>
    <row r="7745" s="1" customFormat="1" customHeight="1" spans="1:6">
      <c r="A7745" s="9" t="str">
        <f>"10360825903"</f>
        <v>10360825903</v>
      </c>
      <c r="B7745" s="10">
        <v>36.5</v>
      </c>
      <c r="C7745" s="9"/>
      <c r="D7745" s="9">
        <f t="shared" si="120"/>
        <v>36.5</v>
      </c>
      <c r="E7745" s="11"/>
      <c r="F7745" s="9"/>
    </row>
    <row r="7746" s="1" customFormat="1" customHeight="1" spans="1:6">
      <c r="A7746" s="9" t="str">
        <f>"10090825904"</f>
        <v>10090825904</v>
      </c>
      <c r="B7746" s="10">
        <v>49.05</v>
      </c>
      <c r="C7746" s="9"/>
      <c r="D7746" s="9">
        <f t="shared" si="120"/>
        <v>49.05</v>
      </c>
      <c r="E7746" s="11"/>
      <c r="F7746" s="9"/>
    </row>
    <row r="7747" s="1" customFormat="1" customHeight="1" spans="1:6">
      <c r="A7747" s="9" t="str">
        <f>"10100825905"</f>
        <v>10100825905</v>
      </c>
      <c r="B7747" s="10">
        <v>0</v>
      </c>
      <c r="C7747" s="9"/>
      <c r="D7747" s="9">
        <f t="shared" ref="D7747:D7810" si="121">SUM(B7747:C7747)</f>
        <v>0</v>
      </c>
      <c r="E7747" s="11"/>
      <c r="F7747" s="9" t="s">
        <v>7</v>
      </c>
    </row>
    <row r="7748" s="1" customFormat="1" customHeight="1" spans="1:6">
      <c r="A7748" s="9" t="str">
        <f>"10360825906"</f>
        <v>10360825906</v>
      </c>
      <c r="B7748" s="10">
        <v>28.12</v>
      </c>
      <c r="C7748" s="9"/>
      <c r="D7748" s="9">
        <f t="shared" si="121"/>
        <v>28.12</v>
      </c>
      <c r="E7748" s="11"/>
      <c r="F7748" s="9"/>
    </row>
    <row r="7749" s="1" customFormat="1" customHeight="1" spans="1:6">
      <c r="A7749" s="9" t="str">
        <f>"10360825907"</f>
        <v>10360825907</v>
      </c>
      <c r="B7749" s="10">
        <v>41.33</v>
      </c>
      <c r="C7749" s="9"/>
      <c r="D7749" s="9">
        <f t="shared" si="121"/>
        <v>41.33</v>
      </c>
      <c r="E7749" s="11"/>
      <c r="F7749" s="9"/>
    </row>
    <row r="7750" s="1" customFormat="1" customHeight="1" spans="1:6">
      <c r="A7750" s="9" t="str">
        <f>"10230825908"</f>
        <v>10230825908</v>
      </c>
      <c r="B7750" s="10">
        <v>0</v>
      </c>
      <c r="C7750" s="9"/>
      <c r="D7750" s="9">
        <f t="shared" si="121"/>
        <v>0</v>
      </c>
      <c r="E7750" s="11"/>
      <c r="F7750" s="9" t="s">
        <v>7</v>
      </c>
    </row>
    <row r="7751" s="1" customFormat="1" customHeight="1" spans="1:6">
      <c r="A7751" s="9" t="str">
        <f>"10370825909"</f>
        <v>10370825909</v>
      </c>
      <c r="B7751" s="10">
        <v>37.16</v>
      </c>
      <c r="C7751" s="9"/>
      <c r="D7751" s="9">
        <f t="shared" si="121"/>
        <v>37.16</v>
      </c>
      <c r="E7751" s="11"/>
      <c r="F7751" s="9"/>
    </row>
    <row r="7752" s="1" customFormat="1" customHeight="1" spans="1:6">
      <c r="A7752" s="9" t="str">
        <f>"10060825910"</f>
        <v>10060825910</v>
      </c>
      <c r="B7752" s="10">
        <v>46.58</v>
      </c>
      <c r="C7752" s="9"/>
      <c r="D7752" s="9">
        <f t="shared" si="121"/>
        <v>46.58</v>
      </c>
      <c r="E7752" s="11"/>
      <c r="F7752" s="9"/>
    </row>
    <row r="7753" s="1" customFormat="1" customHeight="1" spans="1:6">
      <c r="A7753" s="9" t="str">
        <f>"10360825911"</f>
        <v>10360825911</v>
      </c>
      <c r="B7753" s="10">
        <v>32.91</v>
      </c>
      <c r="C7753" s="9"/>
      <c r="D7753" s="9">
        <f t="shared" si="121"/>
        <v>32.91</v>
      </c>
      <c r="E7753" s="11"/>
      <c r="F7753" s="9"/>
    </row>
    <row r="7754" s="1" customFormat="1" customHeight="1" spans="1:6">
      <c r="A7754" s="9" t="str">
        <f>"10360825912"</f>
        <v>10360825912</v>
      </c>
      <c r="B7754" s="10">
        <v>42.78</v>
      </c>
      <c r="C7754" s="9"/>
      <c r="D7754" s="9">
        <f t="shared" si="121"/>
        <v>42.78</v>
      </c>
      <c r="E7754" s="11"/>
      <c r="F7754" s="9"/>
    </row>
    <row r="7755" s="1" customFormat="1" customHeight="1" spans="1:6">
      <c r="A7755" s="9" t="str">
        <f>"10360825913"</f>
        <v>10360825913</v>
      </c>
      <c r="B7755" s="10">
        <v>38.73</v>
      </c>
      <c r="C7755" s="9"/>
      <c r="D7755" s="9">
        <f t="shared" si="121"/>
        <v>38.73</v>
      </c>
      <c r="E7755" s="11"/>
      <c r="F7755" s="9"/>
    </row>
    <row r="7756" s="1" customFormat="1" customHeight="1" spans="1:6">
      <c r="A7756" s="9" t="str">
        <f>"10360825914"</f>
        <v>10360825914</v>
      </c>
      <c r="B7756" s="10">
        <v>0</v>
      </c>
      <c r="C7756" s="9"/>
      <c r="D7756" s="9">
        <f t="shared" si="121"/>
        <v>0</v>
      </c>
      <c r="E7756" s="11"/>
      <c r="F7756" s="9" t="s">
        <v>7</v>
      </c>
    </row>
    <row r="7757" s="1" customFormat="1" customHeight="1" spans="1:6">
      <c r="A7757" s="9" t="str">
        <f>"10210825915"</f>
        <v>10210825915</v>
      </c>
      <c r="B7757" s="10">
        <v>36.17</v>
      </c>
      <c r="C7757" s="9"/>
      <c r="D7757" s="9">
        <f t="shared" si="121"/>
        <v>36.17</v>
      </c>
      <c r="E7757" s="11"/>
      <c r="F7757" s="9"/>
    </row>
    <row r="7758" s="1" customFormat="1" customHeight="1" spans="1:6">
      <c r="A7758" s="9" t="str">
        <f>"10210825916"</f>
        <v>10210825916</v>
      </c>
      <c r="B7758" s="10">
        <v>51.45</v>
      </c>
      <c r="C7758" s="9"/>
      <c r="D7758" s="9">
        <f t="shared" si="121"/>
        <v>51.45</v>
      </c>
      <c r="E7758" s="11"/>
      <c r="F7758" s="9"/>
    </row>
    <row r="7759" s="1" customFormat="1" customHeight="1" spans="1:6">
      <c r="A7759" s="9" t="str">
        <f>"10420825917"</f>
        <v>10420825917</v>
      </c>
      <c r="B7759" s="10">
        <v>43.4</v>
      </c>
      <c r="C7759" s="9"/>
      <c r="D7759" s="9">
        <f t="shared" si="121"/>
        <v>43.4</v>
      </c>
      <c r="E7759" s="11"/>
      <c r="F7759" s="9"/>
    </row>
    <row r="7760" s="1" customFormat="1" customHeight="1" spans="1:6">
      <c r="A7760" s="9" t="str">
        <f>"10440825918"</f>
        <v>10440825918</v>
      </c>
      <c r="B7760" s="10">
        <v>0</v>
      </c>
      <c r="C7760" s="9"/>
      <c r="D7760" s="9">
        <f t="shared" si="121"/>
        <v>0</v>
      </c>
      <c r="E7760" s="11"/>
      <c r="F7760" s="9" t="s">
        <v>7</v>
      </c>
    </row>
    <row r="7761" s="1" customFormat="1" customHeight="1" spans="1:6">
      <c r="A7761" s="9" t="str">
        <f>"10530825919"</f>
        <v>10530825919</v>
      </c>
      <c r="B7761" s="10">
        <v>45.43</v>
      </c>
      <c r="C7761" s="9"/>
      <c r="D7761" s="9">
        <f t="shared" si="121"/>
        <v>45.43</v>
      </c>
      <c r="E7761" s="11"/>
      <c r="F7761" s="9"/>
    </row>
    <row r="7762" s="1" customFormat="1" customHeight="1" spans="1:6">
      <c r="A7762" s="9" t="str">
        <f>"10430825920"</f>
        <v>10430825920</v>
      </c>
      <c r="B7762" s="10">
        <v>42.67</v>
      </c>
      <c r="C7762" s="9"/>
      <c r="D7762" s="9">
        <f t="shared" si="121"/>
        <v>42.67</v>
      </c>
      <c r="E7762" s="11"/>
      <c r="F7762" s="9"/>
    </row>
    <row r="7763" s="1" customFormat="1" customHeight="1" spans="1:6">
      <c r="A7763" s="9" t="str">
        <f>"10170825921"</f>
        <v>10170825921</v>
      </c>
      <c r="B7763" s="10">
        <v>37.06</v>
      </c>
      <c r="C7763" s="9"/>
      <c r="D7763" s="9">
        <f t="shared" si="121"/>
        <v>37.06</v>
      </c>
      <c r="E7763" s="11"/>
      <c r="F7763" s="9"/>
    </row>
    <row r="7764" s="1" customFormat="1" customHeight="1" spans="1:6">
      <c r="A7764" s="9" t="str">
        <f>"10090825922"</f>
        <v>10090825922</v>
      </c>
      <c r="B7764" s="10">
        <v>31.36</v>
      </c>
      <c r="C7764" s="9"/>
      <c r="D7764" s="9">
        <f t="shared" si="121"/>
        <v>31.36</v>
      </c>
      <c r="E7764" s="11"/>
      <c r="F7764" s="9"/>
    </row>
    <row r="7765" s="1" customFormat="1" customHeight="1" spans="1:6">
      <c r="A7765" s="9" t="str">
        <f>"10360825923"</f>
        <v>10360825923</v>
      </c>
      <c r="B7765" s="10">
        <v>46.45</v>
      </c>
      <c r="C7765" s="9"/>
      <c r="D7765" s="9">
        <f t="shared" si="121"/>
        <v>46.45</v>
      </c>
      <c r="E7765" s="11"/>
      <c r="F7765" s="9"/>
    </row>
    <row r="7766" s="1" customFormat="1" customHeight="1" spans="1:6">
      <c r="A7766" s="9" t="str">
        <f>"10460825924"</f>
        <v>10460825924</v>
      </c>
      <c r="B7766" s="10">
        <v>0</v>
      </c>
      <c r="C7766" s="9"/>
      <c r="D7766" s="9">
        <f t="shared" si="121"/>
        <v>0</v>
      </c>
      <c r="E7766" s="11"/>
      <c r="F7766" s="9" t="s">
        <v>7</v>
      </c>
    </row>
    <row r="7767" s="1" customFormat="1" customHeight="1" spans="1:6">
      <c r="A7767" s="9" t="str">
        <f>"10530825925"</f>
        <v>10530825925</v>
      </c>
      <c r="B7767" s="10">
        <v>35.54</v>
      </c>
      <c r="C7767" s="9"/>
      <c r="D7767" s="9">
        <f t="shared" si="121"/>
        <v>35.54</v>
      </c>
      <c r="E7767" s="11"/>
      <c r="F7767" s="9"/>
    </row>
    <row r="7768" s="1" customFormat="1" customHeight="1" spans="1:6">
      <c r="A7768" s="9" t="str">
        <f>"10360825926"</f>
        <v>10360825926</v>
      </c>
      <c r="B7768" s="10">
        <v>31.6</v>
      </c>
      <c r="C7768" s="9"/>
      <c r="D7768" s="9">
        <f t="shared" si="121"/>
        <v>31.6</v>
      </c>
      <c r="E7768" s="11"/>
      <c r="F7768" s="9"/>
    </row>
    <row r="7769" s="1" customFormat="1" customHeight="1" spans="1:6">
      <c r="A7769" s="9" t="str">
        <f>"10150825927"</f>
        <v>10150825927</v>
      </c>
      <c r="B7769" s="10">
        <v>36.73</v>
      </c>
      <c r="C7769" s="9"/>
      <c r="D7769" s="9">
        <f t="shared" si="121"/>
        <v>36.73</v>
      </c>
      <c r="E7769" s="11"/>
      <c r="F7769" s="9"/>
    </row>
    <row r="7770" s="1" customFormat="1" customHeight="1" spans="1:6">
      <c r="A7770" s="9" t="str">
        <f>"10420825928"</f>
        <v>10420825928</v>
      </c>
      <c r="B7770" s="10">
        <v>45.79</v>
      </c>
      <c r="C7770" s="9"/>
      <c r="D7770" s="9">
        <f t="shared" si="121"/>
        <v>45.79</v>
      </c>
      <c r="E7770" s="11"/>
      <c r="F7770" s="9"/>
    </row>
    <row r="7771" s="1" customFormat="1" customHeight="1" spans="1:6">
      <c r="A7771" s="9" t="str">
        <f>"10300825929"</f>
        <v>10300825929</v>
      </c>
      <c r="B7771" s="10">
        <v>46.85</v>
      </c>
      <c r="C7771" s="9"/>
      <c r="D7771" s="9">
        <f t="shared" si="121"/>
        <v>46.85</v>
      </c>
      <c r="E7771" s="11"/>
      <c r="F7771" s="9"/>
    </row>
    <row r="7772" s="1" customFormat="1" customHeight="1" spans="1:6">
      <c r="A7772" s="9" t="str">
        <f>"10360825930"</f>
        <v>10360825930</v>
      </c>
      <c r="B7772" s="10">
        <v>41.4</v>
      </c>
      <c r="C7772" s="9"/>
      <c r="D7772" s="9">
        <f t="shared" si="121"/>
        <v>41.4</v>
      </c>
      <c r="E7772" s="11"/>
      <c r="F7772" s="9"/>
    </row>
    <row r="7773" s="1" customFormat="1" customHeight="1" spans="1:6">
      <c r="A7773" s="9" t="str">
        <f>"10510826001"</f>
        <v>10510826001</v>
      </c>
      <c r="B7773" s="10">
        <v>35.83</v>
      </c>
      <c r="C7773" s="9"/>
      <c r="D7773" s="9">
        <f t="shared" si="121"/>
        <v>35.83</v>
      </c>
      <c r="E7773" s="11"/>
      <c r="F7773" s="9"/>
    </row>
    <row r="7774" s="1" customFormat="1" customHeight="1" spans="1:6">
      <c r="A7774" s="9" t="str">
        <f>"10450826002"</f>
        <v>10450826002</v>
      </c>
      <c r="B7774" s="10">
        <v>38.74</v>
      </c>
      <c r="C7774" s="9"/>
      <c r="D7774" s="9">
        <f t="shared" si="121"/>
        <v>38.74</v>
      </c>
      <c r="E7774" s="11"/>
      <c r="F7774" s="9"/>
    </row>
    <row r="7775" s="1" customFormat="1" customHeight="1" spans="1:6">
      <c r="A7775" s="9" t="str">
        <f>"20270826003"</f>
        <v>20270826003</v>
      </c>
      <c r="B7775" s="10">
        <v>0</v>
      </c>
      <c r="C7775" s="9"/>
      <c r="D7775" s="9">
        <f t="shared" si="121"/>
        <v>0</v>
      </c>
      <c r="E7775" s="11"/>
      <c r="F7775" s="9" t="s">
        <v>7</v>
      </c>
    </row>
    <row r="7776" s="1" customFormat="1" customHeight="1" spans="1:6">
      <c r="A7776" s="9" t="str">
        <f>"10060826004"</f>
        <v>10060826004</v>
      </c>
      <c r="B7776" s="10">
        <v>35.55</v>
      </c>
      <c r="C7776" s="9"/>
      <c r="D7776" s="9">
        <f t="shared" si="121"/>
        <v>35.55</v>
      </c>
      <c r="E7776" s="11"/>
      <c r="F7776" s="9"/>
    </row>
    <row r="7777" s="1" customFormat="1" customHeight="1" spans="1:6">
      <c r="A7777" s="9" t="str">
        <f>"10360826005"</f>
        <v>10360826005</v>
      </c>
      <c r="B7777" s="10">
        <v>35.24</v>
      </c>
      <c r="C7777" s="9"/>
      <c r="D7777" s="9">
        <f t="shared" si="121"/>
        <v>35.24</v>
      </c>
      <c r="E7777" s="11"/>
      <c r="F7777" s="9"/>
    </row>
    <row r="7778" s="1" customFormat="1" customHeight="1" spans="1:6">
      <c r="A7778" s="9" t="str">
        <f>"10120826006"</f>
        <v>10120826006</v>
      </c>
      <c r="B7778" s="10">
        <v>38.71</v>
      </c>
      <c r="C7778" s="9"/>
      <c r="D7778" s="9">
        <f t="shared" si="121"/>
        <v>38.71</v>
      </c>
      <c r="E7778" s="11"/>
      <c r="F7778" s="9"/>
    </row>
    <row r="7779" s="1" customFormat="1" customHeight="1" spans="1:6">
      <c r="A7779" s="9" t="str">
        <f>"10040826007"</f>
        <v>10040826007</v>
      </c>
      <c r="B7779" s="10">
        <v>46.13</v>
      </c>
      <c r="C7779" s="9"/>
      <c r="D7779" s="9">
        <f t="shared" si="121"/>
        <v>46.13</v>
      </c>
      <c r="E7779" s="11"/>
      <c r="F7779" s="9"/>
    </row>
    <row r="7780" s="1" customFormat="1" customHeight="1" spans="1:6">
      <c r="A7780" s="9" t="str">
        <f>"10280826008"</f>
        <v>10280826008</v>
      </c>
      <c r="B7780" s="10">
        <v>40.06</v>
      </c>
      <c r="C7780" s="9"/>
      <c r="D7780" s="9">
        <f t="shared" si="121"/>
        <v>40.06</v>
      </c>
      <c r="E7780" s="11"/>
      <c r="F7780" s="9"/>
    </row>
    <row r="7781" s="1" customFormat="1" customHeight="1" spans="1:6">
      <c r="A7781" s="9" t="str">
        <f>"10080826009"</f>
        <v>10080826009</v>
      </c>
      <c r="B7781" s="10">
        <v>39.7</v>
      </c>
      <c r="C7781" s="9"/>
      <c r="D7781" s="9">
        <f t="shared" si="121"/>
        <v>39.7</v>
      </c>
      <c r="E7781" s="11"/>
      <c r="F7781" s="9"/>
    </row>
    <row r="7782" s="1" customFormat="1" customHeight="1" spans="1:6">
      <c r="A7782" s="9" t="str">
        <f>"10120826010"</f>
        <v>10120826010</v>
      </c>
      <c r="B7782" s="10">
        <v>0</v>
      </c>
      <c r="C7782" s="9"/>
      <c r="D7782" s="9">
        <f t="shared" si="121"/>
        <v>0</v>
      </c>
      <c r="E7782" s="11"/>
      <c r="F7782" s="9" t="s">
        <v>7</v>
      </c>
    </row>
    <row r="7783" s="1" customFormat="1" customHeight="1" spans="1:6">
      <c r="A7783" s="9" t="str">
        <f>"10360826011"</f>
        <v>10360826011</v>
      </c>
      <c r="B7783" s="10">
        <v>0</v>
      </c>
      <c r="C7783" s="9"/>
      <c r="D7783" s="9">
        <f t="shared" si="121"/>
        <v>0</v>
      </c>
      <c r="E7783" s="11"/>
      <c r="F7783" s="9" t="s">
        <v>7</v>
      </c>
    </row>
    <row r="7784" s="1" customFormat="1" customHeight="1" spans="1:6">
      <c r="A7784" s="9" t="str">
        <f>"10120826012"</f>
        <v>10120826012</v>
      </c>
      <c r="B7784" s="10">
        <v>37.09</v>
      </c>
      <c r="C7784" s="9"/>
      <c r="D7784" s="9">
        <f t="shared" si="121"/>
        <v>37.09</v>
      </c>
      <c r="E7784" s="11"/>
      <c r="F7784" s="9"/>
    </row>
    <row r="7785" s="1" customFormat="1" customHeight="1" spans="1:6">
      <c r="A7785" s="9" t="str">
        <f>"10330826013"</f>
        <v>10330826013</v>
      </c>
      <c r="B7785" s="10">
        <v>0</v>
      </c>
      <c r="C7785" s="9"/>
      <c r="D7785" s="9">
        <f t="shared" si="121"/>
        <v>0</v>
      </c>
      <c r="E7785" s="11"/>
      <c r="F7785" s="9" t="s">
        <v>7</v>
      </c>
    </row>
    <row r="7786" s="1" customFormat="1" customHeight="1" spans="1:6">
      <c r="A7786" s="9" t="str">
        <f>"10530826014"</f>
        <v>10530826014</v>
      </c>
      <c r="B7786" s="10">
        <v>0</v>
      </c>
      <c r="C7786" s="9"/>
      <c r="D7786" s="9">
        <f t="shared" si="121"/>
        <v>0</v>
      </c>
      <c r="E7786" s="11"/>
      <c r="F7786" s="9" t="s">
        <v>7</v>
      </c>
    </row>
    <row r="7787" s="1" customFormat="1" customHeight="1" spans="1:6">
      <c r="A7787" s="9" t="str">
        <f>"10440826015"</f>
        <v>10440826015</v>
      </c>
      <c r="B7787" s="10">
        <v>0</v>
      </c>
      <c r="C7787" s="9"/>
      <c r="D7787" s="9">
        <f t="shared" si="121"/>
        <v>0</v>
      </c>
      <c r="E7787" s="11"/>
      <c r="F7787" s="9" t="s">
        <v>7</v>
      </c>
    </row>
    <row r="7788" s="1" customFormat="1" customHeight="1" spans="1:6">
      <c r="A7788" s="9" t="str">
        <f>"10500826016"</f>
        <v>10500826016</v>
      </c>
      <c r="B7788" s="10">
        <v>39.13</v>
      </c>
      <c r="C7788" s="9"/>
      <c r="D7788" s="9">
        <f t="shared" si="121"/>
        <v>39.13</v>
      </c>
      <c r="E7788" s="11"/>
      <c r="F7788" s="9"/>
    </row>
    <row r="7789" s="1" customFormat="1" customHeight="1" spans="1:6">
      <c r="A7789" s="9" t="str">
        <f>"10520826017"</f>
        <v>10520826017</v>
      </c>
      <c r="B7789" s="10">
        <v>0</v>
      </c>
      <c r="C7789" s="9"/>
      <c r="D7789" s="9">
        <f t="shared" si="121"/>
        <v>0</v>
      </c>
      <c r="E7789" s="11"/>
      <c r="F7789" s="9" t="s">
        <v>7</v>
      </c>
    </row>
    <row r="7790" s="1" customFormat="1" customHeight="1" spans="1:6">
      <c r="A7790" s="9" t="str">
        <f>"10360826018"</f>
        <v>10360826018</v>
      </c>
      <c r="B7790" s="10">
        <v>42.63</v>
      </c>
      <c r="C7790" s="9"/>
      <c r="D7790" s="9">
        <f t="shared" si="121"/>
        <v>42.63</v>
      </c>
      <c r="E7790" s="11"/>
      <c r="F7790" s="9"/>
    </row>
    <row r="7791" s="1" customFormat="1" customHeight="1" spans="1:6">
      <c r="A7791" s="9" t="str">
        <f>"10180826019"</f>
        <v>10180826019</v>
      </c>
      <c r="B7791" s="10">
        <v>36.04</v>
      </c>
      <c r="C7791" s="9"/>
      <c r="D7791" s="9">
        <f t="shared" si="121"/>
        <v>36.04</v>
      </c>
      <c r="E7791" s="11"/>
      <c r="F7791" s="9"/>
    </row>
    <row r="7792" s="1" customFormat="1" customHeight="1" spans="1:6">
      <c r="A7792" s="9" t="str">
        <f>"10360826020"</f>
        <v>10360826020</v>
      </c>
      <c r="B7792" s="10">
        <v>33.43</v>
      </c>
      <c r="C7792" s="9"/>
      <c r="D7792" s="9">
        <f t="shared" si="121"/>
        <v>33.43</v>
      </c>
      <c r="E7792" s="11"/>
      <c r="F7792" s="9"/>
    </row>
    <row r="7793" s="1" customFormat="1" customHeight="1" spans="1:6">
      <c r="A7793" s="9" t="str">
        <f>"10450826021"</f>
        <v>10450826021</v>
      </c>
      <c r="B7793" s="10">
        <v>40.58</v>
      </c>
      <c r="C7793" s="9"/>
      <c r="D7793" s="9">
        <f t="shared" si="121"/>
        <v>40.58</v>
      </c>
      <c r="E7793" s="11"/>
      <c r="F7793" s="9"/>
    </row>
    <row r="7794" s="1" customFormat="1" customHeight="1" spans="1:6">
      <c r="A7794" s="9" t="str">
        <f>"10070826022"</f>
        <v>10070826022</v>
      </c>
      <c r="B7794" s="10">
        <v>0</v>
      </c>
      <c r="C7794" s="9"/>
      <c r="D7794" s="9">
        <f t="shared" si="121"/>
        <v>0</v>
      </c>
      <c r="E7794" s="11"/>
      <c r="F7794" s="9" t="s">
        <v>7</v>
      </c>
    </row>
    <row r="7795" s="1" customFormat="1" customHeight="1" spans="1:6">
      <c r="A7795" s="9" t="str">
        <f>"10360826023"</f>
        <v>10360826023</v>
      </c>
      <c r="B7795" s="10">
        <v>45.77</v>
      </c>
      <c r="C7795" s="9">
        <v>10</v>
      </c>
      <c r="D7795" s="9">
        <f t="shared" si="121"/>
        <v>55.77</v>
      </c>
      <c r="E7795" s="12" t="s">
        <v>8</v>
      </c>
      <c r="F7795" s="9"/>
    </row>
    <row r="7796" s="1" customFormat="1" customHeight="1" spans="1:6">
      <c r="A7796" s="9" t="str">
        <f>"10210826024"</f>
        <v>10210826024</v>
      </c>
      <c r="B7796" s="10">
        <v>44.61</v>
      </c>
      <c r="C7796" s="9"/>
      <c r="D7796" s="9">
        <f t="shared" si="121"/>
        <v>44.61</v>
      </c>
      <c r="E7796" s="11"/>
      <c r="F7796" s="9"/>
    </row>
    <row r="7797" s="1" customFormat="1" customHeight="1" spans="1:6">
      <c r="A7797" s="9" t="str">
        <f>"10440826025"</f>
        <v>10440826025</v>
      </c>
      <c r="B7797" s="10">
        <v>46.36</v>
      </c>
      <c r="C7797" s="9"/>
      <c r="D7797" s="9">
        <f t="shared" si="121"/>
        <v>46.36</v>
      </c>
      <c r="E7797" s="11"/>
      <c r="F7797" s="9"/>
    </row>
    <row r="7798" s="1" customFormat="1" customHeight="1" spans="1:6">
      <c r="A7798" s="9" t="str">
        <f>"10410826026"</f>
        <v>10410826026</v>
      </c>
      <c r="B7798" s="10">
        <v>45.99</v>
      </c>
      <c r="C7798" s="9"/>
      <c r="D7798" s="9">
        <f t="shared" si="121"/>
        <v>45.99</v>
      </c>
      <c r="E7798" s="11"/>
      <c r="F7798" s="9"/>
    </row>
    <row r="7799" s="1" customFormat="1" customHeight="1" spans="1:6">
      <c r="A7799" s="9" t="str">
        <f>"10360826027"</f>
        <v>10360826027</v>
      </c>
      <c r="B7799" s="10">
        <v>38.3</v>
      </c>
      <c r="C7799" s="9"/>
      <c r="D7799" s="9">
        <f t="shared" si="121"/>
        <v>38.3</v>
      </c>
      <c r="E7799" s="11"/>
      <c r="F7799" s="9"/>
    </row>
    <row r="7800" s="1" customFormat="1" customHeight="1" spans="1:6">
      <c r="A7800" s="9" t="str">
        <f>"10360826028"</f>
        <v>10360826028</v>
      </c>
      <c r="B7800" s="10">
        <v>35.54</v>
      </c>
      <c r="C7800" s="9">
        <v>10</v>
      </c>
      <c r="D7800" s="9">
        <f t="shared" si="121"/>
        <v>45.54</v>
      </c>
      <c r="E7800" s="12" t="s">
        <v>8</v>
      </c>
      <c r="F7800" s="9"/>
    </row>
    <row r="7801" s="1" customFormat="1" customHeight="1" spans="1:6">
      <c r="A7801" s="9" t="str">
        <f>"10290826029"</f>
        <v>10290826029</v>
      </c>
      <c r="B7801" s="10">
        <v>34.95</v>
      </c>
      <c r="C7801" s="9"/>
      <c r="D7801" s="9">
        <f t="shared" si="121"/>
        <v>34.95</v>
      </c>
      <c r="E7801" s="11"/>
      <c r="F7801" s="9"/>
    </row>
    <row r="7802" s="1" customFormat="1" customHeight="1" spans="1:6">
      <c r="A7802" s="9" t="str">
        <f>"10360826030"</f>
        <v>10360826030</v>
      </c>
      <c r="B7802" s="10">
        <v>36.3</v>
      </c>
      <c r="C7802" s="9"/>
      <c r="D7802" s="9">
        <f t="shared" si="121"/>
        <v>36.3</v>
      </c>
      <c r="E7802" s="11"/>
      <c r="F7802" s="9"/>
    </row>
    <row r="7803" s="1" customFormat="1" customHeight="1" spans="1:6">
      <c r="A7803" s="9" t="str">
        <f>"10440826101"</f>
        <v>10440826101</v>
      </c>
      <c r="B7803" s="10">
        <v>47.47</v>
      </c>
      <c r="C7803" s="9"/>
      <c r="D7803" s="9">
        <f t="shared" si="121"/>
        <v>47.47</v>
      </c>
      <c r="E7803" s="11"/>
      <c r="F7803" s="9"/>
    </row>
    <row r="7804" s="1" customFormat="1" customHeight="1" spans="1:6">
      <c r="A7804" s="9" t="str">
        <f>"10230826102"</f>
        <v>10230826102</v>
      </c>
      <c r="B7804" s="10">
        <v>0</v>
      </c>
      <c r="C7804" s="9"/>
      <c r="D7804" s="9">
        <f t="shared" si="121"/>
        <v>0</v>
      </c>
      <c r="E7804" s="11"/>
      <c r="F7804" s="9" t="s">
        <v>7</v>
      </c>
    </row>
    <row r="7805" s="1" customFormat="1" customHeight="1" spans="1:6">
      <c r="A7805" s="9" t="str">
        <f>"10360826103"</f>
        <v>10360826103</v>
      </c>
      <c r="B7805" s="10">
        <v>0</v>
      </c>
      <c r="C7805" s="9"/>
      <c r="D7805" s="9">
        <f t="shared" si="121"/>
        <v>0</v>
      </c>
      <c r="E7805" s="11"/>
      <c r="F7805" s="9" t="s">
        <v>7</v>
      </c>
    </row>
    <row r="7806" s="1" customFormat="1" customHeight="1" spans="1:6">
      <c r="A7806" s="9" t="str">
        <f>"10080826104"</f>
        <v>10080826104</v>
      </c>
      <c r="B7806" s="10">
        <v>40.62</v>
      </c>
      <c r="C7806" s="9"/>
      <c r="D7806" s="9">
        <f t="shared" si="121"/>
        <v>40.62</v>
      </c>
      <c r="E7806" s="11"/>
      <c r="F7806" s="9"/>
    </row>
    <row r="7807" s="1" customFormat="1" customHeight="1" spans="1:6">
      <c r="A7807" s="9" t="str">
        <f>"10130826105"</f>
        <v>10130826105</v>
      </c>
      <c r="B7807" s="10">
        <v>38.68</v>
      </c>
      <c r="C7807" s="9"/>
      <c r="D7807" s="9">
        <f t="shared" si="121"/>
        <v>38.68</v>
      </c>
      <c r="E7807" s="11"/>
      <c r="F7807" s="9"/>
    </row>
    <row r="7808" s="1" customFormat="1" customHeight="1" spans="1:6">
      <c r="A7808" s="9" t="str">
        <f>"10160826106"</f>
        <v>10160826106</v>
      </c>
      <c r="B7808" s="10">
        <v>40.07</v>
      </c>
      <c r="C7808" s="9"/>
      <c r="D7808" s="9">
        <f t="shared" si="121"/>
        <v>40.07</v>
      </c>
      <c r="E7808" s="11"/>
      <c r="F7808" s="9"/>
    </row>
    <row r="7809" s="1" customFormat="1" customHeight="1" spans="1:6">
      <c r="A7809" s="9" t="str">
        <f>"10360826107"</f>
        <v>10360826107</v>
      </c>
      <c r="B7809" s="10">
        <v>34.93</v>
      </c>
      <c r="C7809" s="9"/>
      <c r="D7809" s="9">
        <f t="shared" si="121"/>
        <v>34.93</v>
      </c>
      <c r="E7809" s="11"/>
      <c r="F7809" s="9"/>
    </row>
    <row r="7810" s="1" customFormat="1" customHeight="1" spans="1:6">
      <c r="A7810" s="9" t="str">
        <f>"10440826108"</f>
        <v>10440826108</v>
      </c>
      <c r="B7810" s="10">
        <v>0</v>
      </c>
      <c r="C7810" s="9"/>
      <c r="D7810" s="9">
        <f t="shared" si="121"/>
        <v>0</v>
      </c>
      <c r="E7810" s="11"/>
      <c r="F7810" s="9" t="s">
        <v>7</v>
      </c>
    </row>
    <row r="7811" s="1" customFormat="1" customHeight="1" spans="1:6">
      <c r="A7811" s="9" t="str">
        <f>"20270826109"</f>
        <v>20270826109</v>
      </c>
      <c r="B7811" s="10">
        <v>47.17</v>
      </c>
      <c r="C7811" s="9"/>
      <c r="D7811" s="9">
        <f t="shared" ref="D7811:D7874" si="122">SUM(B7811:C7811)</f>
        <v>47.17</v>
      </c>
      <c r="E7811" s="11"/>
      <c r="F7811" s="9"/>
    </row>
    <row r="7812" s="1" customFormat="1" customHeight="1" spans="1:6">
      <c r="A7812" s="9" t="str">
        <f>"10080826110"</f>
        <v>10080826110</v>
      </c>
      <c r="B7812" s="10">
        <v>0</v>
      </c>
      <c r="C7812" s="9"/>
      <c r="D7812" s="9">
        <f t="shared" si="122"/>
        <v>0</v>
      </c>
      <c r="E7812" s="11"/>
      <c r="F7812" s="9" t="s">
        <v>7</v>
      </c>
    </row>
    <row r="7813" s="1" customFormat="1" customHeight="1" spans="1:6">
      <c r="A7813" s="9" t="str">
        <f>"10150826111"</f>
        <v>10150826111</v>
      </c>
      <c r="B7813" s="10">
        <v>43.22</v>
      </c>
      <c r="C7813" s="9"/>
      <c r="D7813" s="9">
        <f t="shared" si="122"/>
        <v>43.22</v>
      </c>
      <c r="E7813" s="11"/>
      <c r="F7813" s="9"/>
    </row>
    <row r="7814" s="1" customFormat="1" customHeight="1" spans="1:6">
      <c r="A7814" s="9" t="str">
        <f>"10390826112"</f>
        <v>10390826112</v>
      </c>
      <c r="B7814" s="10">
        <v>0</v>
      </c>
      <c r="C7814" s="9"/>
      <c r="D7814" s="9">
        <f t="shared" si="122"/>
        <v>0</v>
      </c>
      <c r="E7814" s="11"/>
      <c r="F7814" s="9" t="s">
        <v>7</v>
      </c>
    </row>
    <row r="7815" s="1" customFormat="1" customHeight="1" spans="1:6">
      <c r="A7815" s="9" t="str">
        <f>"10270826113"</f>
        <v>10270826113</v>
      </c>
      <c r="B7815" s="10">
        <v>0</v>
      </c>
      <c r="C7815" s="9"/>
      <c r="D7815" s="9">
        <f t="shared" si="122"/>
        <v>0</v>
      </c>
      <c r="E7815" s="11"/>
      <c r="F7815" s="9" t="s">
        <v>7</v>
      </c>
    </row>
    <row r="7816" s="1" customFormat="1" customHeight="1" spans="1:6">
      <c r="A7816" s="9" t="str">
        <f>"10360826114"</f>
        <v>10360826114</v>
      </c>
      <c r="B7816" s="10">
        <v>48.15</v>
      </c>
      <c r="C7816" s="9"/>
      <c r="D7816" s="9">
        <f t="shared" si="122"/>
        <v>48.15</v>
      </c>
      <c r="E7816" s="11"/>
      <c r="F7816" s="9"/>
    </row>
    <row r="7817" s="1" customFormat="1" customHeight="1" spans="1:6">
      <c r="A7817" s="9" t="str">
        <f>"10210826115"</f>
        <v>10210826115</v>
      </c>
      <c r="B7817" s="10">
        <v>41.24</v>
      </c>
      <c r="C7817" s="9"/>
      <c r="D7817" s="9">
        <f t="shared" si="122"/>
        <v>41.24</v>
      </c>
      <c r="E7817" s="11"/>
      <c r="F7817" s="9"/>
    </row>
    <row r="7818" s="1" customFormat="1" customHeight="1" spans="1:6">
      <c r="A7818" s="9" t="str">
        <f>"10360826116"</f>
        <v>10360826116</v>
      </c>
      <c r="B7818" s="10">
        <v>38.14</v>
      </c>
      <c r="C7818" s="9"/>
      <c r="D7818" s="9">
        <f t="shared" si="122"/>
        <v>38.14</v>
      </c>
      <c r="E7818" s="11"/>
      <c r="F7818" s="9"/>
    </row>
    <row r="7819" s="1" customFormat="1" customHeight="1" spans="1:6">
      <c r="A7819" s="9" t="str">
        <f>"10420826117"</f>
        <v>10420826117</v>
      </c>
      <c r="B7819" s="10">
        <v>0</v>
      </c>
      <c r="C7819" s="9"/>
      <c r="D7819" s="9">
        <f t="shared" si="122"/>
        <v>0</v>
      </c>
      <c r="E7819" s="11"/>
      <c r="F7819" s="9" t="s">
        <v>7</v>
      </c>
    </row>
    <row r="7820" s="1" customFormat="1" customHeight="1" spans="1:6">
      <c r="A7820" s="9" t="str">
        <f>"20180826118"</f>
        <v>20180826118</v>
      </c>
      <c r="B7820" s="10">
        <v>0</v>
      </c>
      <c r="C7820" s="9"/>
      <c r="D7820" s="9">
        <f t="shared" si="122"/>
        <v>0</v>
      </c>
      <c r="E7820" s="11"/>
      <c r="F7820" s="9" t="s">
        <v>7</v>
      </c>
    </row>
    <row r="7821" s="1" customFormat="1" customHeight="1" spans="1:6">
      <c r="A7821" s="9" t="str">
        <f>"10060826119"</f>
        <v>10060826119</v>
      </c>
      <c r="B7821" s="10">
        <v>45.95</v>
      </c>
      <c r="C7821" s="9"/>
      <c r="D7821" s="9">
        <f t="shared" si="122"/>
        <v>45.95</v>
      </c>
      <c r="E7821" s="11"/>
      <c r="F7821" s="9"/>
    </row>
    <row r="7822" s="1" customFormat="1" customHeight="1" spans="1:6">
      <c r="A7822" s="9" t="str">
        <f>"10260826120"</f>
        <v>10260826120</v>
      </c>
      <c r="B7822" s="10">
        <v>31.82</v>
      </c>
      <c r="C7822" s="9"/>
      <c r="D7822" s="9">
        <f t="shared" si="122"/>
        <v>31.82</v>
      </c>
      <c r="E7822" s="11"/>
      <c r="F7822" s="9"/>
    </row>
    <row r="7823" s="1" customFormat="1" customHeight="1" spans="1:6">
      <c r="A7823" s="9" t="str">
        <f>"10330826121"</f>
        <v>10330826121</v>
      </c>
      <c r="B7823" s="10">
        <v>37.98</v>
      </c>
      <c r="C7823" s="9"/>
      <c r="D7823" s="9">
        <f t="shared" si="122"/>
        <v>37.98</v>
      </c>
      <c r="E7823" s="11"/>
      <c r="F7823" s="9"/>
    </row>
    <row r="7824" s="1" customFormat="1" customHeight="1" spans="1:6">
      <c r="A7824" s="9" t="str">
        <f>"10500826122"</f>
        <v>10500826122</v>
      </c>
      <c r="B7824" s="10">
        <v>0</v>
      </c>
      <c r="C7824" s="9"/>
      <c r="D7824" s="9">
        <f t="shared" si="122"/>
        <v>0</v>
      </c>
      <c r="E7824" s="11"/>
      <c r="F7824" s="9" t="s">
        <v>7</v>
      </c>
    </row>
    <row r="7825" s="1" customFormat="1" customHeight="1" spans="1:6">
      <c r="A7825" s="9" t="str">
        <f>"10070826123"</f>
        <v>10070826123</v>
      </c>
      <c r="B7825" s="10">
        <v>36.54</v>
      </c>
      <c r="C7825" s="9"/>
      <c r="D7825" s="9">
        <f t="shared" si="122"/>
        <v>36.54</v>
      </c>
      <c r="E7825" s="11"/>
      <c r="F7825" s="9"/>
    </row>
    <row r="7826" s="1" customFormat="1" customHeight="1" spans="1:6">
      <c r="A7826" s="9" t="str">
        <f>"10190826124"</f>
        <v>10190826124</v>
      </c>
      <c r="B7826" s="10">
        <v>0</v>
      </c>
      <c r="C7826" s="9"/>
      <c r="D7826" s="9">
        <f t="shared" si="122"/>
        <v>0</v>
      </c>
      <c r="E7826" s="11"/>
      <c r="F7826" s="9" t="s">
        <v>7</v>
      </c>
    </row>
    <row r="7827" s="1" customFormat="1" customHeight="1" spans="1:6">
      <c r="A7827" s="9" t="str">
        <f>"10530826125"</f>
        <v>10530826125</v>
      </c>
      <c r="B7827" s="10">
        <v>37.03</v>
      </c>
      <c r="C7827" s="9"/>
      <c r="D7827" s="9">
        <f t="shared" si="122"/>
        <v>37.03</v>
      </c>
      <c r="E7827" s="11"/>
      <c r="F7827" s="9"/>
    </row>
    <row r="7828" s="1" customFormat="1" customHeight="1" spans="1:6">
      <c r="A7828" s="9" t="str">
        <f>"10020826126"</f>
        <v>10020826126</v>
      </c>
      <c r="B7828" s="10">
        <v>31.61</v>
      </c>
      <c r="C7828" s="9"/>
      <c r="D7828" s="9">
        <f t="shared" si="122"/>
        <v>31.61</v>
      </c>
      <c r="E7828" s="11"/>
      <c r="F7828" s="9"/>
    </row>
    <row r="7829" s="1" customFormat="1" customHeight="1" spans="1:6">
      <c r="A7829" s="9" t="str">
        <f>"10280826127"</f>
        <v>10280826127</v>
      </c>
      <c r="B7829" s="10">
        <v>0</v>
      </c>
      <c r="C7829" s="9"/>
      <c r="D7829" s="9">
        <f t="shared" si="122"/>
        <v>0</v>
      </c>
      <c r="E7829" s="11"/>
      <c r="F7829" s="9" t="s">
        <v>7</v>
      </c>
    </row>
    <row r="7830" s="1" customFormat="1" customHeight="1" spans="1:6">
      <c r="A7830" s="9" t="str">
        <f>"10040826128"</f>
        <v>10040826128</v>
      </c>
      <c r="B7830" s="10">
        <v>0</v>
      </c>
      <c r="C7830" s="9"/>
      <c r="D7830" s="9">
        <f t="shared" si="122"/>
        <v>0</v>
      </c>
      <c r="E7830" s="11"/>
      <c r="F7830" s="9" t="s">
        <v>7</v>
      </c>
    </row>
    <row r="7831" s="1" customFormat="1" customHeight="1" spans="1:6">
      <c r="A7831" s="9" t="str">
        <f>"10360826129"</f>
        <v>10360826129</v>
      </c>
      <c r="B7831" s="10">
        <v>50.13</v>
      </c>
      <c r="C7831" s="9"/>
      <c r="D7831" s="9">
        <f t="shared" si="122"/>
        <v>50.13</v>
      </c>
      <c r="E7831" s="11"/>
      <c r="F7831" s="9"/>
    </row>
    <row r="7832" s="1" customFormat="1" customHeight="1" spans="1:6">
      <c r="A7832" s="9" t="str">
        <f>"10170826130"</f>
        <v>10170826130</v>
      </c>
      <c r="B7832" s="10">
        <v>48.6</v>
      </c>
      <c r="C7832" s="9"/>
      <c r="D7832" s="9">
        <f t="shared" si="122"/>
        <v>48.6</v>
      </c>
      <c r="E7832" s="11"/>
      <c r="F7832" s="9"/>
    </row>
    <row r="7833" s="1" customFormat="1" customHeight="1" spans="1:6">
      <c r="A7833" s="9" t="str">
        <f>"10360826201"</f>
        <v>10360826201</v>
      </c>
      <c r="B7833" s="10">
        <v>38.21</v>
      </c>
      <c r="C7833" s="9"/>
      <c r="D7833" s="9">
        <f t="shared" si="122"/>
        <v>38.21</v>
      </c>
      <c r="E7833" s="11"/>
      <c r="F7833" s="9"/>
    </row>
    <row r="7834" s="1" customFormat="1" customHeight="1" spans="1:6">
      <c r="A7834" s="9" t="str">
        <f>"10020826202"</f>
        <v>10020826202</v>
      </c>
      <c r="B7834" s="10">
        <v>30.88</v>
      </c>
      <c r="C7834" s="9"/>
      <c r="D7834" s="9">
        <f t="shared" si="122"/>
        <v>30.88</v>
      </c>
      <c r="E7834" s="11"/>
      <c r="F7834" s="9"/>
    </row>
    <row r="7835" s="1" customFormat="1" customHeight="1" spans="1:6">
      <c r="A7835" s="9" t="str">
        <f>"10040826203"</f>
        <v>10040826203</v>
      </c>
      <c r="B7835" s="10">
        <v>45.62</v>
      </c>
      <c r="C7835" s="9"/>
      <c r="D7835" s="9">
        <f t="shared" si="122"/>
        <v>45.62</v>
      </c>
      <c r="E7835" s="11"/>
      <c r="F7835" s="9"/>
    </row>
    <row r="7836" s="1" customFormat="1" customHeight="1" spans="1:6">
      <c r="A7836" s="9" t="str">
        <f>"10120826204"</f>
        <v>10120826204</v>
      </c>
      <c r="B7836" s="10">
        <v>0</v>
      </c>
      <c r="C7836" s="9"/>
      <c r="D7836" s="9">
        <f t="shared" si="122"/>
        <v>0</v>
      </c>
      <c r="E7836" s="11"/>
      <c r="F7836" s="9" t="s">
        <v>7</v>
      </c>
    </row>
    <row r="7837" s="1" customFormat="1" customHeight="1" spans="1:6">
      <c r="A7837" s="9" t="str">
        <f>"10330826205"</f>
        <v>10330826205</v>
      </c>
      <c r="B7837" s="10">
        <v>43.87</v>
      </c>
      <c r="C7837" s="9"/>
      <c r="D7837" s="9">
        <f t="shared" si="122"/>
        <v>43.87</v>
      </c>
      <c r="E7837" s="11"/>
      <c r="F7837" s="9"/>
    </row>
    <row r="7838" s="1" customFormat="1" customHeight="1" spans="1:6">
      <c r="A7838" s="9" t="str">
        <f>"10090826206"</f>
        <v>10090826206</v>
      </c>
      <c r="B7838" s="10">
        <v>48.86</v>
      </c>
      <c r="C7838" s="9"/>
      <c r="D7838" s="9">
        <f t="shared" si="122"/>
        <v>48.86</v>
      </c>
      <c r="E7838" s="11"/>
      <c r="F7838" s="9"/>
    </row>
    <row r="7839" s="1" customFormat="1" customHeight="1" spans="1:6">
      <c r="A7839" s="9" t="str">
        <f>"10060826207"</f>
        <v>10060826207</v>
      </c>
      <c r="B7839" s="10">
        <v>42.6</v>
      </c>
      <c r="C7839" s="9"/>
      <c r="D7839" s="9">
        <f t="shared" si="122"/>
        <v>42.6</v>
      </c>
      <c r="E7839" s="11"/>
      <c r="F7839" s="9"/>
    </row>
    <row r="7840" s="1" customFormat="1" customHeight="1" spans="1:6">
      <c r="A7840" s="9" t="str">
        <f>"10300826208"</f>
        <v>10300826208</v>
      </c>
      <c r="B7840" s="10">
        <v>36.03</v>
      </c>
      <c r="C7840" s="9"/>
      <c r="D7840" s="9">
        <f t="shared" si="122"/>
        <v>36.03</v>
      </c>
      <c r="E7840" s="11"/>
      <c r="F7840" s="9"/>
    </row>
    <row r="7841" s="1" customFormat="1" customHeight="1" spans="1:6">
      <c r="A7841" s="9" t="str">
        <f>"10010826209"</f>
        <v>10010826209</v>
      </c>
      <c r="B7841" s="10">
        <v>43.16</v>
      </c>
      <c r="C7841" s="9"/>
      <c r="D7841" s="9">
        <f t="shared" si="122"/>
        <v>43.16</v>
      </c>
      <c r="E7841" s="11"/>
      <c r="F7841" s="9"/>
    </row>
    <row r="7842" s="1" customFormat="1" customHeight="1" spans="1:6">
      <c r="A7842" s="9" t="str">
        <f>"10020826210"</f>
        <v>10020826210</v>
      </c>
      <c r="B7842" s="10">
        <v>0</v>
      </c>
      <c r="C7842" s="9"/>
      <c r="D7842" s="9">
        <f t="shared" si="122"/>
        <v>0</v>
      </c>
      <c r="E7842" s="11"/>
      <c r="F7842" s="9" t="s">
        <v>7</v>
      </c>
    </row>
    <row r="7843" s="1" customFormat="1" customHeight="1" spans="1:6">
      <c r="A7843" s="9" t="str">
        <f>"10340826211"</f>
        <v>10340826211</v>
      </c>
      <c r="B7843" s="10">
        <v>35.49</v>
      </c>
      <c r="C7843" s="9"/>
      <c r="D7843" s="9">
        <f t="shared" si="122"/>
        <v>35.49</v>
      </c>
      <c r="E7843" s="11"/>
      <c r="F7843" s="9"/>
    </row>
    <row r="7844" s="1" customFormat="1" customHeight="1" spans="1:6">
      <c r="A7844" s="9" t="str">
        <f>"10300826212"</f>
        <v>10300826212</v>
      </c>
      <c r="B7844" s="10">
        <v>51.59</v>
      </c>
      <c r="C7844" s="9"/>
      <c r="D7844" s="9">
        <f t="shared" si="122"/>
        <v>51.59</v>
      </c>
      <c r="E7844" s="11"/>
      <c r="F7844" s="9"/>
    </row>
    <row r="7845" s="1" customFormat="1" customHeight="1" spans="1:6">
      <c r="A7845" s="9" t="str">
        <f>"10230826213"</f>
        <v>10230826213</v>
      </c>
      <c r="B7845" s="10">
        <v>34.84</v>
      </c>
      <c r="C7845" s="9"/>
      <c r="D7845" s="9">
        <f t="shared" si="122"/>
        <v>34.84</v>
      </c>
      <c r="E7845" s="11"/>
      <c r="F7845" s="9"/>
    </row>
    <row r="7846" s="1" customFormat="1" customHeight="1" spans="1:6">
      <c r="A7846" s="9" t="str">
        <f>"10140826214"</f>
        <v>10140826214</v>
      </c>
      <c r="B7846" s="10">
        <v>42.84</v>
      </c>
      <c r="C7846" s="9"/>
      <c r="D7846" s="9">
        <f t="shared" si="122"/>
        <v>42.84</v>
      </c>
      <c r="E7846" s="11"/>
      <c r="F7846" s="9"/>
    </row>
    <row r="7847" s="1" customFormat="1" customHeight="1" spans="1:6">
      <c r="A7847" s="9" t="str">
        <f>"10330826215"</f>
        <v>10330826215</v>
      </c>
      <c r="B7847" s="10">
        <v>0</v>
      </c>
      <c r="C7847" s="9"/>
      <c r="D7847" s="9">
        <f t="shared" si="122"/>
        <v>0</v>
      </c>
      <c r="E7847" s="11"/>
      <c r="F7847" s="9" t="s">
        <v>7</v>
      </c>
    </row>
    <row r="7848" s="1" customFormat="1" customHeight="1" spans="1:6">
      <c r="A7848" s="9" t="str">
        <f>"10360826216"</f>
        <v>10360826216</v>
      </c>
      <c r="B7848" s="10">
        <v>0</v>
      </c>
      <c r="C7848" s="9"/>
      <c r="D7848" s="9">
        <f t="shared" si="122"/>
        <v>0</v>
      </c>
      <c r="E7848" s="11"/>
      <c r="F7848" s="9" t="s">
        <v>7</v>
      </c>
    </row>
    <row r="7849" s="1" customFormat="1" customHeight="1" spans="1:6">
      <c r="A7849" s="9" t="str">
        <f>"10480826217"</f>
        <v>10480826217</v>
      </c>
      <c r="B7849" s="10">
        <v>41.36</v>
      </c>
      <c r="C7849" s="9"/>
      <c r="D7849" s="9">
        <f t="shared" si="122"/>
        <v>41.36</v>
      </c>
      <c r="E7849" s="11"/>
      <c r="F7849" s="9"/>
    </row>
    <row r="7850" s="1" customFormat="1" customHeight="1" spans="1:6">
      <c r="A7850" s="9" t="str">
        <f>"10360826218"</f>
        <v>10360826218</v>
      </c>
      <c r="B7850" s="10">
        <v>35.77</v>
      </c>
      <c r="C7850" s="9"/>
      <c r="D7850" s="9">
        <f t="shared" si="122"/>
        <v>35.77</v>
      </c>
      <c r="E7850" s="11"/>
      <c r="F7850" s="9"/>
    </row>
    <row r="7851" s="1" customFormat="1" customHeight="1" spans="1:6">
      <c r="A7851" s="9" t="str">
        <f>"10360826219"</f>
        <v>10360826219</v>
      </c>
      <c r="B7851" s="10">
        <v>45.02</v>
      </c>
      <c r="C7851" s="9"/>
      <c r="D7851" s="9">
        <f t="shared" si="122"/>
        <v>45.02</v>
      </c>
      <c r="E7851" s="11"/>
      <c r="F7851" s="9"/>
    </row>
    <row r="7852" s="1" customFormat="1" customHeight="1" spans="1:6">
      <c r="A7852" s="9" t="str">
        <f>"10140826220"</f>
        <v>10140826220</v>
      </c>
      <c r="B7852" s="10">
        <v>43.23</v>
      </c>
      <c r="C7852" s="9"/>
      <c r="D7852" s="9">
        <f t="shared" si="122"/>
        <v>43.23</v>
      </c>
      <c r="E7852" s="11"/>
      <c r="F7852" s="9"/>
    </row>
    <row r="7853" s="1" customFormat="1" customHeight="1" spans="1:6">
      <c r="A7853" s="9" t="str">
        <f>"10190826221"</f>
        <v>10190826221</v>
      </c>
      <c r="B7853" s="10">
        <v>30.14</v>
      </c>
      <c r="C7853" s="9"/>
      <c r="D7853" s="9">
        <f t="shared" si="122"/>
        <v>30.14</v>
      </c>
      <c r="E7853" s="11"/>
      <c r="F7853" s="9"/>
    </row>
    <row r="7854" s="1" customFormat="1" customHeight="1" spans="1:6">
      <c r="A7854" s="9" t="str">
        <f>"10140826222"</f>
        <v>10140826222</v>
      </c>
      <c r="B7854" s="10">
        <v>36.12</v>
      </c>
      <c r="C7854" s="9"/>
      <c r="D7854" s="9">
        <f t="shared" si="122"/>
        <v>36.12</v>
      </c>
      <c r="E7854" s="11"/>
      <c r="F7854" s="9"/>
    </row>
    <row r="7855" s="1" customFormat="1" customHeight="1" spans="1:6">
      <c r="A7855" s="9" t="str">
        <f>"10210826223"</f>
        <v>10210826223</v>
      </c>
      <c r="B7855" s="10">
        <v>39.49</v>
      </c>
      <c r="C7855" s="9"/>
      <c r="D7855" s="9">
        <f t="shared" si="122"/>
        <v>39.49</v>
      </c>
      <c r="E7855" s="11"/>
      <c r="F7855" s="9"/>
    </row>
    <row r="7856" s="1" customFormat="1" customHeight="1" spans="1:6">
      <c r="A7856" s="9" t="str">
        <f>"10090826224"</f>
        <v>10090826224</v>
      </c>
      <c r="B7856" s="10">
        <v>42.12</v>
      </c>
      <c r="C7856" s="9"/>
      <c r="D7856" s="9">
        <f t="shared" si="122"/>
        <v>42.12</v>
      </c>
      <c r="E7856" s="11"/>
      <c r="F7856" s="9"/>
    </row>
    <row r="7857" s="1" customFormat="1" customHeight="1" spans="1:6">
      <c r="A7857" s="9" t="str">
        <f>"10530826225"</f>
        <v>10530826225</v>
      </c>
      <c r="B7857" s="10">
        <v>0</v>
      </c>
      <c r="C7857" s="9"/>
      <c r="D7857" s="9">
        <f t="shared" si="122"/>
        <v>0</v>
      </c>
      <c r="E7857" s="11"/>
      <c r="F7857" s="9" t="s">
        <v>7</v>
      </c>
    </row>
    <row r="7858" s="1" customFormat="1" customHeight="1" spans="1:6">
      <c r="A7858" s="9" t="str">
        <f>"10060826226"</f>
        <v>10060826226</v>
      </c>
      <c r="B7858" s="10">
        <v>39.51</v>
      </c>
      <c r="C7858" s="9"/>
      <c r="D7858" s="9">
        <f t="shared" si="122"/>
        <v>39.51</v>
      </c>
      <c r="E7858" s="11"/>
      <c r="F7858" s="9"/>
    </row>
    <row r="7859" s="1" customFormat="1" customHeight="1" spans="1:6">
      <c r="A7859" s="9" t="str">
        <f>"10340826227"</f>
        <v>10340826227</v>
      </c>
      <c r="B7859" s="10">
        <v>30.54</v>
      </c>
      <c r="C7859" s="9"/>
      <c r="D7859" s="9">
        <f t="shared" si="122"/>
        <v>30.54</v>
      </c>
      <c r="E7859" s="11"/>
      <c r="F7859" s="9"/>
    </row>
    <row r="7860" s="1" customFormat="1" customHeight="1" spans="1:6">
      <c r="A7860" s="9" t="str">
        <f>"10360826228"</f>
        <v>10360826228</v>
      </c>
      <c r="B7860" s="10">
        <v>37.33</v>
      </c>
      <c r="C7860" s="9"/>
      <c r="D7860" s="9">
        <f t="shared" si="122"/>
        <v>37.33</v>
      </c>
      <c r="E7860" s="11"/>
      <c r="F7860" s="9"/>
    </row>
    <row r="7861" s="1" customFormat="1" customHeight="1" spans="1:6">
      <c r="A7861" s="9" t="str">
        <f>"10300826229"</f>
        <v>10300826229</v>
      </c>
      <c r="B7861" s="10">
        <v>49.33</v>
      </c>
      <c r="C7861" s="9"/>
      <c r="D7861" s="9">
        <f t="shared" si="122"/>
        <v>49.33</v>
      </c>
      <c r="E7861" s="11"/>
      <c r="F7861" s="9"/>
    </row>
    <row r="7862" s="1" customFormat="1" customHeight="1" spans="1:6">
      <c r="A7862" s="9" t="str">
        <f>"10530826230"</f>
        <v>10530826230</v>
      </c>
      <c r="B7862" s="10">
        <v>37.67</v>
      </c>
      <c r="C7862" s="9"/>
      <c r="D7862" s="9">
        <f t="shared" si="122"/>
        <v>37.67</v>
      </c>
      <c r="E7862" s="11"/>
      <c r="F7862" s="9"/>
    </row>
    <row r="7863" s="1" customFormat="1" customHeight="1" spans="1:6">
      <c r="A7863" s="9" t="str">
        <f>"10060826301"</f>
        <v>10060826301</v>
      </c>
      <c r="B7863" s="10">
        <v>0</v>
      </c>
      <c r="C7863" s="9"/>
      <c r="D7863" s="9">
        <f t="shared" si="122"/>
        <v>0</v>
      </c>
      <c r="E7863" s="11"/>
      <c r="F7863" s="9" t="s">
        <v>7</v>
      </c>
    </row>
    <row r="7864" s="1" customFormat="1" customHeight="1" spans="1:6">
      <c r="A7864" s="9" t="str">
        <f>"10090826302"</f>
        <v>10090826302</v>
      </c>
      <c r="B7864" s="10">
        <v>0</v>
      </c>
      <c r="C7864" s="9"/>
      <c r="D7864" s="9">
        <f t="shared" si="122"/>
        <v>0</v>
      </c>
      <c r="E7864" s="11"/>
      <c r="F7864" s="9" t="s">
        <v>7</v>
      </c>
    </row>
    <row r="7865" s="1" customFormat="1" customHeight="1" spans="1:6">
      <c r="A7865" s="9" t="str">
        <f>"10240826303"</f>
        <v>10240826303</v>
      </c>
      <c r="B7865" s="10">
        <v>0</v>
      </c>
      <c r="C7865" s="9">
        <v>10</v>
      </c>
      <c r="D7865" s="9">
        <f t="shared" si="122"/>
        <v>10</v>
      </c>
      <c r="E7865" s="12" t="s">
        <v>8</v>
      </c>
      <c r="F7865" s="9" t="s">
        <v>7</v>
      </c>
    </row>
    <row r="7866" s="1" customFormat="1" customHeight="1" spans="1:6">
      <c r="A7866" s="9" t="str">
        <f>"10360826304"</f>
        <v>10360826304</v>
      </c>
      <c r="B7866" s="10">
        <v>33.55</v>
      </c>
      <c r="C7866" s="9"/>
      <c r="D7866" s="9">
        <f t="shared" si="122"/>
        <v>33.55</v>
      </c>
      <c r="E7866" s="11"/>
      <c r="F7866" s="9"/>
    </row>
    <row r="7867" s="1" customFormat="1" customHeight="1" spans="1:6">
      <c r="A7867" s="9" t="str">
        <f>"10160826305"</f>
        <v>10160826305</v>
      </c>
      <c r="B7867" s="10">
        <v>36.32</v>
      </c>
      <c r="C7867" s="9"/>
      <c r="D7867" s="9">
        <f t="shared" si="122"/>
        <v>36.32</v>
      </c>
      <c r="E7867" s="11"/>
      <c r="F7867" s="9"/>
    </row>
    <row r="7868" s="1" customFormat="1" customHeight="1" spans="1:6">
      <c r="A7868" s="9" t="str">
        <f>"10520826306"</f>
        <v>10520826306</v>
      </c>
      <c r="B7868" s="10">
        <v>38.95</v>
      </c>
      <c r="C7868" s="9"/>
      <c r="D7868" s="9">
        <f t="shared" si="122"/>
        <v>38.95</v>
      </c>
      <c r="E7868" s="11"/>
      <c r="F7868" s="9"/>
    </row>
    <row r="7869" s="1" customFormat="1" customHeight="1" spans="1:6">
      <c r="A7869" s="9" t="str">
        <f>"10280826307"</f>
        <v>10280826307</v>
      </c>
      <c r="B7869" s="10">
        <v>43.99</v>
      </c>
      <c r="C7869" s="9"/>
      <c r="D7869" s="9">
        <f t="shared" si="122"/>
        <v>43.99</v>
      </c>
      <c r="E7869" s="11"/>
      <c r="F7869" s="9"/>
    </row>
    <row r="7870" s="1" customFormat="1" customHeight="1" spans="1:6">
      <c r="A7870" s="9" t="str">
        <f>"10020826308"</f>
        <v>10020826308</v>
      </c>
      <c r="B7870" s="10">
        <v>42.61</v>
      </c>
      <c r="C7870" s="9"/>
      <c r="D7870" s="9">
        <f t="shared" si="122"/>
        <v>42.61</v>
      </c>
      <c r="E7870" s="11"/>
      <c r="F7870" s="9"/>
    </row>
    <row r="7871" s="1" customFormat="1" customHeight="1" spans="1:6">
      <c r="A7871" s="9" t="str">
        <f>"10530826309"</f>
        <v>10530826309</v>
      </c>
      <c r="B7871" s="10">
        <v>0</v>
      </c>
      <c r="C7871" s="9"/>
      <c r="D7871" s="9">
        <f t="shared" si="122"/>
        <v>0</v>
      </c>
      <c r="E7871" s="11"/>
      <c r="F7871" s="9" t="s">
        <v>7</v>
      </c>
    </row>
    <row r="7872" s="1" customFormat="1" customHeight="1" spans="1:6">
      <c r="A7872" s="9" t="str">
        <f>"10360826310"</f>
        <v>10360826310</v>
      </c>
      <c r="B7872" s="10">
        <v>0</v>
      </c>
      <c r="C7872" s="9"/>
      <c r="D7872" s="9">
        <f t="shared" si="122"/>
        <v>0</v>
      </c>
      <c r="E7872" s="11"/>
      <c r="F7872" s="9" t="s">
        <v>7</v>
      </c>
    </row>
    <row r="7873" s="1" customFormat="1" customHeight="1" spans="1:6">
      <c r="A7873" s="9" t="str">
        <f>"10270826311"</f>
        <v>10270826311</v>
      </c>
      <c r="B7873" s="10">
        <v>35.27</v>
      </c>
      <c r="C7873" s="9"/>
      <c r="D7873" s="9">
        <f t="shared" si="122"/>
        <v>35.27</v>
      </c>
      <c r="E7873" s="11"/>
      <c r="F7873" s="9"/>
    </row>
    <row r="7874" s="1" customFormat="1" customHeight="1" spans="1:6">
      <c r="A7874" s="9" t="str">
        <f>"10110826312"</f>
        <v>10110826312</v>
      </c>
      <c r="B7874" s="10">
        <v>39.73</v>
      </c>
      <c r="C7874" s="9"/>
      <c r="D7874" s="9">
        <f t="shared" si="122"/>
        <v>39.73</v>
      </c>
      <c r="E7874" s="11"/>
      <c r="F7874" s="9"/>
    </row>
    <row r="7875" s="1" customFormat="1" customHeight="1" spans="1:6">
      <c r="A7875" s="9" t="str">
        <f>"10410826313"</f>
        <v>10410826313</v>
      </c>
      <c r="B7875" s="10">
        <v>0</v>
      </c>
      <c r="C7875" s="9"/>
      <c r="D7875" s="9">
        <f t="shared" ref="D7875:D7938" si="123">SUM(B7875:C7875)</f>
        <v>0</v>
      </c>
      <c r="E7875" s="11"/>
      <c r="F7875" s="9" t="s">
        <v>7</v>
      </c>
    </row>
    <row r="7876" s="1" customFormat="1" customHeight="1" spans="1:6">
      <c r="A7876" s="9" t="str">
        <f>"10260826314"</f>
        <v>10260826314</v>
      </c>
      <c r="B7876" s="10">
        <v>40.37</v>
      </c>
      <c r="C7876" s="9"/>
      <c r="D7876" s="9">
        <f t="shared" si="123"/>
        <v>40.37</v>
      </c>
      <c r="E7876" s="11"/>
      <c r="F7876" s="9"/>
    </row>
    <row r="7877" s="1" customFormat="1" customHeight="1" spans="1:6">
      <c r="A7877" s="9" t="str">
        <f>"10300826315"</f>
        <v>10300826315</v>
      </c>
      <c r="B7877" s="10">
        <v>23.43</v>
      </c>
      <c r="C7877" s="9"/>
      <c r="D7877" s="9">
        <f t="shared" si="123"/>
        <v>23.43</v>
      </c>
      <c r="E7877" s="11"/>
      <c r="F7877" s="9"/>
    </row>
    <row r="7878" s="1" customFormat="1" customHeight="1" spans="1:6">
      <c r="A7878" s="9" t="str">
        <f>"20180826316"</f>
        <v>20180826316</v>
      </c>
      <c r="B7878" s="10">
        <v>0</v>
      </c>
      <c r="C7878" s="9"/>
      <c r="D7878" s="9">
        <f t="shared" si="123"/>
        <v>0</v>
      </c>
      <c r="E7878" s="11"/>
      <c r="F7878" s="9" t="s">
        <v>7</v>
      </c>
    </row>
    <row r="7879" s="1" customFormat="1" customHeight="1" spans="1:6">
      <c r="A7879" s="9" t="str">
        <f>"10450826317"</f>
        <v>10450826317</v>
      </c>
      <c r="B7879" s="10">
        <v>41.05</v>
      </c>
      <c r="C7879" s="9"/>
      <c r="D7879" s="9">
        <f t="shared" si="123"/>
        <v>41.05</v>
      </c>
      <c r="E7879" s="11"/>
      <c r="F7879" s="9"/>
    </row>
    <row r="7880" s="1" customFormat="1" customHeight="1" spans="1:6">
      <c r="A7880" s="9" t="str">
        <f>"10520826318"</f>
        <v>10520826318</v>
      </c>
      <c r="B7880" s="10">
        <v>39.46</v>
      </c>
      <c r="C7880" s="9"/>
      <c r="D7880" s="9">
        <f t="shared" si="123"/>
        <v>39.46</v>
      </c>
      <c r="E7880" s="11"/>
      <c r="F7880" s="9"/>
    </row>
    <row r="7881" s="1" customFormat="1" customHeight="1" spans="1:6">
      <c r="A7881" s="9" t="str">
        <f>"10100826319"</f>
        <v>10100826319</v>
      </c>
      <c r="B7881" s="10">
        <v>50.08</v>
      </c>
      <c r="C7881" s="9"/>
      <c r="D7881" s="9">
        <f t="shared" si="123"/>
        <v>50.08</v>
      </c>
      <c r="E7881" s="11"/>
      <c r="F7881" s="9"/>
    </row>
    <row r="7882" s="1" customFormat="1" customHeight="1" spans="1:6">
      <c r="A7882" s="9" t="str">
        <f>"10410826320"</f>
        <v>10410826320</v>
      </c>
      <c r="B7882" s="10">
        <v>48.85</v>
      </c>
      <c r="C7882" s="9"/>
      <c r="D7882" s="9">
        <f t="shared" si="123"/>
        <v>48.85</v>
      </c>
      <c r="E7882" s="11"/>
      <c r="F7882" s="9"/>
    </row>
    <row r="7883" s="1" customFormat="1" customHeight="1" spans="1:6">
      <c r="A7883" s="9" t="str">
        <f>"10070826321"</f>
        <v>10070826321</v>
      </c>
      <c r="B7883" s="10">
        <v>45.08</v>
      </c>
      <c r="C7883" s="9"/>
      <c r="D7883" s="9">
        <f t="shared" si="123"/>
        <v>45.08</v>
      </c>
      <c r="E7883" s="11"/>
      <c r="F7883" s="9"/>
    </row>
    <row r="7884" s="1" customFormat="1" customHeight="1" spans="1:6">
      <c r="A7884" s="9" t="str">
        <f>"10360826322"</f>
        <v>10360826322</v>
      </c>
      <c r="B7884" s="10">
        <v>45.53</v>
      </c>
      <c r="C7884" s="9"/>
      <c r="D7884" s="9">
        <f t="shared" si="123"/>
        <v>45.53</v>
      </c>
      <c r="E7884" s="11"/>
      <c r="F7884" s="9"/>
    </row>
    <row r="7885" s="1" customFormat="1" customHeight="1" spans="1:6">
      <c r="A7885" s="9" t="str">
        <f>"10190826323"</f>
        <v>10190826323</v>
      </c>
      <c r="B7885" s="10">
        <v>0</v>
      </c>
      <c r="C7885" s="9"/>
      <c r="D7885" s="9">
        <f t="shared" si="123"/>
        <v>0</v>
      </c>
      <c r="E7885" s="11"/>
      <c r="F7885" s="9" t="s">
        <v>7</v>
      </c>
    </row>
    <row r="7886" s="1" customFormat="1" customHeight="1" spans="1:6">
      <c r="A7886" s="9" t="str">
        <f>"10080826324"</f>
        <v>10080826324</v>
      </c>
      <c r="B7886" s="10">
        <v>48.05</v>
      </c>
      <c r="C7886" s="9"/>
      <c r="D7886" s="9">
        <f t="shared" si="123"/>
        <v>48.05</v>
      </c>
      <c r="E7886" s="11"/>
      <c r="F7886" s="9"/>
    </row>
    <row r="7887" s="1" customFormat="1" customHeight="1" spans="1:6">
      <c r="A7887" s="9" t="str">
        <f>"10500826325"</f>
        <v>10500826325</v>
      </c>
      <c r="B7887" s="10">
        <v>0</v>
      </c>
      <c r="C7887" s="9"/>
      <c r="D7887" s="9">
        <f t="shared" si="123"/>
        <v>0</v>
      </c>
      <c r="E7887" s="11"/>
      <c r="F7887" s="9" t="s">
        <v>7</v>
      </c>
    </row>
    <row r="7888" s="1" customFormat="1" customHeight="1" spans="1:6">
      <c r="A7888" s="9" t="str">
        <f>"10450826326"</f>
        <v>10450826326</v>
      </c>
      <c r="B7888" s="10">
        <v>47.34</v>
      </c>
      <c r="C7888" s="9"/>
      <c r="D7888" s="9">
        <f t="shared" si="123"/>
        <v>47.34</v>
      </c>
      <c r="E7888" s="11"/>
      <c r="F7888" s="9"/>
    </row>
    <row r="7889" s="1" customFormat="1" customHeight="1" spans="1:6">
      <c r="A7889" s="9" t="str">
        <f>"20180826327"</f>
        <v>20180826327</v>
      </c>
      <c r="B7889" s="10">
        <v>35.02</v>
      </c>
      <c r="C7889" s="9"/>
      <c r="D7889" s="9">
        <f t="shared" si="123"/>
        <v>35.02</v>
      </c>
      <c r="E7889" s="11"/>
      <c r="F7889" s="9"/>
    </row>
    <row r="7890" s="1" customFormat="1" customHeight="1" spans="1:6">
      <c r="A7890" s="9" t="str">
        <f>"10080826328"</f>
        <v>10080826328</v>
      </c>
      <c r="B7890" s="10">
        <v>47</v>
      </c>
      <c r="C7890" s="9"/>
      <c r="D7890" s="9">
        <f t="shared" si="123"/>
        <v>47</v>
      </c>
      <c r="E7890" s="11"/>
      <c r="F7890" s="9"/>
    </row>
    <row r="7891" s="1" customFormat="1" customHeight="1" spans="1:6">
      <c r="A7891" s="9" t="str">
        <f>"10060826329"</f>
        <v>10060826329</v>
      </c>
      <c r="B7891" s="10">
        <v>42.21</v>
      </c>
      <c r="C7891" s="9"/>
      <c r="D7891" s="9">
        <f t="shared" si="123"/>
        <v>42.21</v>
      </c>
      <c r="E7891" s="11"/>
      <c r="F7891" s="9"/>
    </row>
    <row r="7892" s="1" customFormat="1" customHeight="1" spans="1:6">
      <c r="A7892" s="9" t="str">
        <f>"20180826330"</f>
        <v>20180826330</v>
      </c>
      <c r="B7892" s="10">
        <v>40.11</v>
      </c>
      <c r="C7892" s="9"/>
      <c r="D7892" s="9">
        <f t="shared" si="123"/>
        <v>40.11</v>
      </c>
      <c r="E7892" s="11"/>
      <c r="F7892" s="9"/>
    </row>
    <row r="7893" s="1" customFormat="1" customHeight="1" spans="1:6">
      <c r="A7893" s="9" t="str">
        <f>"10060826401"</f>
        <v>10060826401</v>
      </c>
      <c r="B7893" s="10">
        <v>33.65</v>
      </c>
      <c r="C7893" s="9"/>
      <c r="D7893" s="9">
        <f t="shared" si="123"/>
        <v>33.65</v>
      </c>
      <c r="E7893" s="11"/>
      <c r="F7893" s="9"/>
    </row>
    <row r="7894" s="1" customFormat="1" customHeight="1" spans="1:6">
      <c r="A7894" s="9" t="str">
        <f>"10300826402"</f>
        <v>10300826402</v>
      </c>
      <c r="B7894" s="10">
        <v>44.95</v>
      </c>
      <c r="C7894" s="9"/>
      <c r="D7894" s="9">
        <f t="shared" si="123"/>
        <v>44.95</v>
      </c>
      <c r="E7894" s="11"/>
      <c r="F7894" s="9"/>
    </row>
    <row r="7895" s="1" customFormat="1" customHeight="1" spans="1:6">
      <c r="A7895" s="9" t="str">
        <f>"10370826403"</f>
        <v>10370826403</v>
      </c>
      <c r="B7895" s="10">
        <v>41.65</v>
      </c>
      <c r="C7895" s="9"/>
      <c r="D7895" s="9">
        <f t="shared" si="123"/>
        <v>41.65</v>
      </c>
      <c r="E7895" s="11"/>
      <c r="F7895" s="9"/>
    </row>
    <row r="7896" s="1" customFormat="1" customHeight="1" spans="1:6">
      <c r="A7896" s="9" t="str">
        <f>"10510826404"</f>
        <v>10510826404</v>
      </c>
      <c r="B7896" s="10">
        <v>34.87</v>
      </c>
      <c r="C7896" s="9">
        <v>10</v>
      </c>
      <c r="D7896" s="9">
        <f t="shared" si="123"/>
        <v>44.87</v>
      </c>
      <c r="E7896" s="12" t="s">
        <v>8</v>
      </c>
      <c r="F7896" s="9"/>
    </row>
    <row r="7897" s="1" customFormat="1" customHeight="1" spans="1:6">
      <c r="A7897" s="9" t="str">
        <f>"10520826405"</f>
        <v>10520826405</v>
      </c>
      <c r="B7897" s="10">
        <v>42.27</v>
      </c>
      <c r="C7897" s="9"/>
      <c r="D7897" s="9">
        <f t="shared" si="123"/>
        <v>42.27</v>
      </c>
      <c r="E7897" s="11"/>
      <c r="F7897" s="9"/>
    </row>
    <row r="7898" s="1" customFormat="1" customHeight="1" spans="1:6">
      <c r="A7898" s="9" t="str">
        <f>"10420826406"</f>
        <v>10420826406</v>
      </c>
      <c r="B7898" s="10">
        <v>40.43</v>
      </c>
      <c r="C7898" s="9"/>
      <c r="D7898" s="9">
        <f t="shared" si="123"/>
        <v>40.43</v>
      </c>
      <c r="E7898" s="11"/>
      <c r="F7898" s="9"/>
    </row>
    <row r="7899" s="1" customFormat="1" customHeight="1" spans="1:6">
      <c r="A7899" s="9" t="str">
        <f>"10400826407"</f>
        <v>10400826407</v>
      </c>
      <c r="B7899" s="10">
        <v>38.01</v>
      </c>
      <c r="C7899" s="9"/>
      <c r="D7899" s="9">
        <f t="shared" si="123"/>
        <v>38.01</v>
      </c>
      <c r="E7899" s="11"/>
      <c r="F7899" s="9"/>
    </row>
    <row r="7900" s="1" customFormat="1" customHeight="1" spans="1:6">
      <c r="A7900" s="9" t="str">
        <f>"10010826408"</f>
        <v>10010826408</v>
      </c>
      <c r="B7900" s="10">
        <v>34.02</v>
      </c>
      <c r="C7900" s="9"/>
      <c r="D7900" s="9">
        <f t="shared" si="123"/>
        <v>34.02</v>
      </c>
      <c r="E7900" s="11"/>
      <c r="F7900" s="9"/>
    </row>
    <row r="7901" s="1" customFormat="1" customHeight="1" spans="1:6">
      <c r="A7901" s="9" t="str">
        <f>"10480826409"</f>
        <v>10480826409</v>
      </c>
      <c r="B7901" s="10">
        <v>43.69</v>
      </c>
      <c r="C7901" s="9"/>
      <c r="D7901" s="9">
        <f t="shared" si="123"/>
        <v>43.69</v>
      </c>
      <c r="E7901" s="11"/>
      <c r="F7901" s="9"/>
    </row>
    <row r="7902" s="1" customFormat="1" customHeight="1" spans="1:6">
      <c r="A7902" s="9" t="str">
        <f>"10130826410"</f>
        <v>10130826410</v>
      </c>
      <c r="B7902" s="10">
        <v>0</v>
      </c>
      <c r="C7902" s="9"/>
      <c r="D7902" s="9">
        <f t="shared" si="123"/>
        <v>0</v>
      </c>
      <c r="E7902" s="11"/>
      <c r="F7902" s="9" t="s">
        <v>7</v>
      </c>
    </row>
    <row r="7903" s="1" customFormat="1" customHeight="1" spans="1:6">
      <c r="A7903" s="9" t="str">
        <f>"10050826411"</f>
        <v>10050826411</v>
      </c>
      <c r="B7903" s="10">
        <v>47.89</v>
      </c>
      <c r="C7903" s="9"/>
      <c r="D7903" s="9">
        <f t="shared" si="123"/>
        <v>47.89</v>
      </c>
      <c r="E7903" s="11"/>
      <c r="F7903" s="9"/>
    </row>
    <row r="7904" s="1" customFormat="1" customHeight="1" spans="1:6">
      <c r="A7904" s="9" t="str">
        <f>"10370826412"</f>
        <v>10370826412</v>
      </c>
      <c r="B7904" s="10">
        <v>38.75</v>
      </c>
      <c r="C7904" s="9"/>
      <c r="D7904" s="9">
        <f t="shared" si="123"/>
        <v>38.75</v>
      </c>
      <c r="E7904" s="11"/>
      <c r="F7904" s="9"/>
    </row>
    <row r="7905" s="1" customFormat="1" customHeight="1" spans="1:6">
      <c r="A7905" s="9" t="str">
        <f>"10530826413"</f>
        <v>10530826413</v>
      </c>
      <c r="B7905" s="10">
        <v>40.08</v>
      </c>
      <c r="C7905" s="9"/>
      <c r="D7905" s="9">
        <f t="shared" si="123"/>
        <v>40.08</v>
      </c>
      <c r="E7905" s="11"/>
      <c r="F7905" s="9"/>
    </row>
    <row r="7906" s="1" customFormat="1" customHeight="1" spans="1:6">
      <c r="A7906" s="9" t="str">
        <f>"10360826414"</f>
        <v>10360826414</v>
      </c>
      <c r="B7906" s="10">
        <v>0</v>
      </c>
      <c r="C7906" s="9"/>
      <c r="D7906" s="9">
        <f t="shared" si="123"/>
        <v>0</v>
      </c>
      <c r="E7906" s="11"/>
      <c r="F7906" s="9" t="s">
        <v>7</v>
      </c>
    </row>
    <row r="7907" s="1" customFormat="1" customHeight="1" spans="1:6">
      <c r="A7907" s="9" t="str">
        <f>"10360826415"</f>
        <v>10360826415</v>
      </c>
      <c r="B7907" s="10">
        <v>0</v>
      </c>
      <c r="C7907" s="9"/>
      <c r="D7907" s="9">
        <f t="shared" si="123"/>
        <v>0</v>
      </c>
      <c r="E7907" s="11"/>
      <c r="F7907" s="9" t="s">
        <v>7</v>
      </c>
    </row>
    <row r="7908" s="1" customFormat="1" customHeight="1" spans="1:6">
      <c r="A7908" s="9" t="str">
        <f>"10110826416"</f>
        <v>10110826416</v>
      </c>
      <c r="B7908" s="10">
        <v>50.51</v>
      </c>
      <c r="C7908" s="9"/>
      <c r="D7908" s="9">
        <f t="shared" si="123"/>
        <v>50.51</v>
      </c>
      <c r="E7908" s="11"/>
      <c r="F7908" s="9"/>
    </row>
    <row r="7909" s="1" customFormat="1" customHeight="1" spans="1:6">
      <c r="A7909" s="9" t="str">
        <f>"10360826417"</f>
        <v>10360826417</v>
      </c>
      <c r="B7909" s="10">
        <v>0</v>
      </c>
      <c r="C7909" s="9"/>
      <c r="D7909" s="9">
        <f t="shared" si="123"/>
        <v>0</v>
      </c>
      <c r="E7909" s="11"/>
      <c r="F7909" s="9" t="s">
        <v>7</v>
      </c>
    </row>
    <row r="7910" s="1" customFormat="1" customHeight="1" spans="1:6">
      <c r="A7910" s="9" t="str">
        <f>"10330826418"</f>
        <v>10330826418</v>
      </c>
      <c r="B7910" s="10">
        <v>0</v>
      </c>
      <c r="C7910" s="9"/>
      <c r="D7910" s="9">
        <f t="shared" si="123"/>
        <v>0</v>
      </c>
      <c r="E7910" s="11"/>
      <c r="F7910" s="9" t="s">
        <v>7</v>
      </c>
    </row>
    <row r="7911" s="1" customFormat="1" customHeight="1" spans="1:6">
      <c r="A7911" s="9" t="str">
        <f>"10360826419"</f>
        <v>10360826419</v>
      </c>
      <c r="B7911" s="10">
        <v>25.25</v>
      </c>
      <c r="C7911" s="9"/>
      <c r="D7911" s="9">
        <f t="shared" si="123"/>
        <v>25.25</v>
      </c>
      <c r="E7911" s="11"/>
      <c r="F7911" s="9"/>
    </row>
    <row r="7912" s="1" customFormat="1" customHeight="1" spans="1:6">
      <c r="A7912" s="9" t="str">
        <f>"10280826420"</f>
        <v>10280826420</v>
      </c>
      <c r="B7912" s="10">
        <v>37.95</v>
      </c>
      <c r="C7912" s="9"/>
      <c r="D7912" s="9">
        <f t="shared" si="123"/>
        <v>37.95</v>
      </c>
      <c r="E7912" s="11"/>
      <c r="F7912" s="9"/>
    </row>
    <row r="7913" s="1" customFormat="1" customHeight="1" spans="1:6">
      <c r="A7913" s="9" t="str">
        <f>"10380826421"</f>
        <v>10380826421</v>
      </c>
      <c r="B7913" s="10">
        <v>34.82</v>
      </c>
      <c r="C7913" s="9"/>
      <c r="D7913" s="9">
        <f t="shared" si="123"/>
        <v>34.82</v>
      </c>
      <c r="E7913" s="11"/>
      <c r="F7913" s="9"/>
    </row>
    <row r="7914" s="1" customFormat="1" customHeight="1" spans="1:6">
      <c r="A7914" s="9" t="str">
        <f>"10360826422"</f>
        <v>10360826422</v>
      </c>
      <c r="B7914" s="10">
        <v>0</v>
      </c>
      <c r="C7914" s="9"/>
      <c r="D7914" s="9">
        <f t="shared" si="123"/>
        <v>0</v>
      </c>
      <c r="E7914" s="11"/>
      <c r="F7914" s="9" t="s">
        <v>7</v>
      </c>
    </row>
    <row r="7915" s="1" customFormat="1" customHeight="1" spans="1:6">
      <c r="A7915" s="9" t="str">
        <f>"10450826423"</f>
        <v>10450826423</v>
      </c>
      <c r="B7915" s="10">
        <v>34.42</v>
      </c>
      <c r="C7915" s="9"/>
      <c r="D7915" s="9">
        <f t="shared" si="123"/>
        <v>34.42</v>
      </c>
      <c r="E7915" s="11"/>
      <c r="F7915" s="9"/>
    </row>
    <row r="7916" s="1" customFormat="1" customHeight="1" spans="1:6">
      <c r="A7916" s="9" t="str">
        <f>"10500826424"</f>
        <v>10500826424</v>
      </c>
      <c r="B7916" s="10">
        <v>28.89</v>
      </c>
      <c r="C7916" s="9"/>
      <c r="D7916" s="9">
        <f t="shared" si="123"/>
        <v>28.89</v>
      </c>
      <c r="E7916" s="11"/>
      <c r="F7916" s="9"/>
    </row>
    <row r="7917" s="1" customFormat="1" customHeight="1" spans="1:6">
      <c r="A7917" s="9" t="str">
        <f>"10330826425"</f>
        <v>10330826425</v>
      </c>
      <c r="B7917" s="10">
        <v>40.7</v>
      </c>
      <c r="C7917" s="9"/>
      <c r="D7917" s="9">
        <f t="shared" si="123"/>
        <v>40.7</v>
      </c>
      <c r="E7917" s="11"/>
      <c r="F7917" s="9"/>
    </row>
    <row r="7918" s="1" customFormat="1" customHeight="1" spans="1:6">
      <c r="A7918" s="9" t="str">
        <f>"10110826426"</f>
        <v>10110826426</v>
      </c>
      <c r="B7918" s="10">
        <v>46.1</v>
      </c>
      <c r="C7918" s="9"/>
      <c r="D7918" s="9">
        <f t="shared" si="123"/>
        <v>46.1</v>
      </c>
      <c r="E7918" s="11"/>
      <c r="F7918" s="9"/>
    </row>
    <row r="7919" s="1" customFormat="1" customHeight="1" spans="1:6">
      <c r="A7919" s="9" t="str">
        <f>"10360826427"</f>
        <v>10360826427</v>
      </c>
      <c r="B7919" s="10">
        <v>42.9</v>
      </c>
      <c r="C7919" s="9"/>
      <c r="D7919" s="9">
        <f t="shared" si="123"/>
        <v>42.9</v>
      </c>
      <c r="E7919" s="11"/>
      <c r="F7919" s="9"/>
    </row>
    <row r="7920" s="1" customFormat="1" customHeight="1" spans="1:6">
      <c r="A7920" s="9" t="str">
        <f>"10170826428"</f>
        <v>10170826428</v>
      </c>
      <c r="B7920" s="10">
        <v>0</v>
      </c>
      <c r="C7920" s="9"/>
      <c r="D7920" s="9">
        <f t="shared" si="123"/>
        <v>0</v>
      </c>
      <c r="E7920" s="11"/>
      <c r="F7920" s="9" t="s">
        <v>7</v>
      </c>
    </row>
    <row r="7921" s="1" customFormat="1" customHeight="1" spans="1:6">
      <c r="A7921" s="9" t="str">
        <f>"10530826429"</f>
        <v>10530826429</v>
      </c>
      <c r="B7921" s="10">
        <v>30.4</v>
      </c>
      <c r="C7921" s="9">
        <v>10</v>
      </c>
      <c r="D7921" s="9">
        <f t="shared" si="123"/>
        <v>40.4</v>
      </c>
      <c r="E7921" s="12" t="s">
        <v>8</v>
      </c>
      <c r="F7921" s="9"/>
    </row>
    <row r="7922" s="1" customFormat="1" customHeight="1" spans="1:6">
      <c r="A7922" s="9" t="str">
        <f>"10360826430"</f>
        <v>10360826430</v>
      </c>
      <c r="B7922" s="10">
        <v>0</v>
      </c>
      <c r="C7922" s="9"/>
      <c r="D7922" s="9">
        <f t="shared" si="123"/>
        <v>0</v>
      </c>
      <c r="E7922" s="11"/>
      <c r="F7922" s="9" t="s">
        <v>7</v>
      </c>
    </row>
    <row r="7923" s="1" customFormat="1" customHeight="1" spans="1:6">
      <c r="A7923" s="9" t="str">
        <f>"10210826501"</f>
        <v>10210826501</v>
      </c>
      <c r="B7923" s="10">
        <v>39.36</v>
      </c>
      <c r="C7923" s="9"/>
      <c r="D7923" s="9">
        <f t="shared" si="123"/>
        <v>39.36</v>
      </c>
      <c r="E7923" s="11"/>
      <c r="F7923" s="9"/>
    </row>
    <row r="7924" s="1" customFormat="1" customHeight="1" spans="1:6">
      <c r="A7924" s="9" t="str">
        <f>"10360826502"</f>
        <v>10360826502</v>
      </c>
      <c r="B7924" s="10">
        <v>0</v>
      </c>
      <c r="C7924" s="9"/>
      <c r="D7924" s="9">
        <f t="shared" si="123"/>
        <v>0</v>
      </c>
      <c r="E7924" s="11"/>
      <c r="F7924" s="9" t="s">
        <v>7</v>
      </c>
    </row>
    <row r="7925" s="1" customFormat="1" customHeight="1" spans="1:6">
      <c r="A7925" s="9" t="str">
        <f>"10270826503"</f>
        <v>10270826503</v>
      </c>
      <c r="B7925" s="10">
        <v>48.18</v>
      </c>
      <c r="C7925" s="9"/>
      <c r="D7925" s="9">
        <f t="shared" si="123"/>
        <v>48.18</v>
      </c>
      <c r="E7925" s="11"/>
      <c r="F7925" s="9"/>
    </row>
    <row r="7926" s="1" customFormat="1" customHeight="1" spans="1:6">
      <c r="A7926" s="9" t="str">
        <f>"10200826504"</f>
        <v>10200826504</v>
      </c>
      <c r="B7926" s="10">
        <v>0</v>
      </c>
      <c r="C7926" s="9"/>
      <c r="D7926" s="9">
        <f t="shared" si="123"/>
        <v>0</v>
      </c>
      <c r="E7926" s="11"/>
      <c r="F7926" s="9" t="s">
        <v>7</v>
      </c>
    </row>
    <row r="7927" s="1" customFormat="1" customHeight="1" spans="1:6">
      <c r="A7927" s="9" t="str">
        <f>"10360826505"</f>
        <v>10360826505</v>
      </c>
      <c r="B7927" s="10">
        <v>51.99</v>
      </c>
      <c r="C7927" s="9"/>
      <c r="D7927" s="9">
        <f t="shared" si="123"/>
        <v>51.99</v>
      </c>
      <c r="E7927" s="11"/>
      <c r="F7927" s="9"/>
    </row>
    <row r="7928" s="1" customFormat="1" customHeight="1" spans="1:6">
      <c r="A7928" s="9" t="str">
        <f>"10530826506"</f>
        <v>10530826506</v>
      </c>
      <c r="B7928" s="10">
        <v>43.58</v>
      </c>
      <c r="C7928" s="9"/>
      <c r="D7928" s="9">
        <f t="shared" si="123"/>
        <v>43.58</v>
      </c>
      <c r="E7928" s="11"/>
      <c r="F7928" s="9"/>
    </row>
    <row r="7929" s="1" customFormat="1" customHeight="1" spans="1:6">
      <c r="A7929" s="9" t="str">
        <f>"10460826507"</f>
        <v>10460826507</v>
      </c>
      <c r="B7929" s="10">
        <v>42.36</v>
      </c>
      <c r="C7929" s="9"/>
      <c r="D7929" s="9">
        <f t="shared" si="123"/>
        <v>42.36</v>
      </c>
      <c r="E7929" s="11"/>
      <c r="F7929" s="9"/>
    </row>
    <row r="7930" s="1" customFormat="1" customHeight="1" spans="1:6">
      <c r="A7930" s="9" t="str">
        <f>"10060826508"</f>
        <v>10060826508</v>
      </c>
      <c r="B7930" s="10">
        <v>40.77</v>
      </c>
      <c r="C7930" s="9"/>
      <c r="D7930" s="9">
        <f t="shared" si="123"/>
        <v>40.77</v>
      </c>
      <c r="E7930" s="11"/>
      <c r="F7930" s="9"/>
    </row>
    <row r="7931" s="1" customFormat="1" customHeight="1" spans="1:6">
      <c r="A7931" s="9" t="str">
        <f>"10360826509"</f>
        <v>10360826509</v>
      </c>
      <c r="B7931" s="10">
        <v>42.12</v>
      </c>
      <c r="C7931" s="9"/>
      <c r="D7931" s="9">
        <f t="shared" si="123"/>
        <v>42.12</v>
      </c>
      <c r="E7931" s="11"/>
      <c r="F7931" s="9"/>
    </row>
    <row r="7932" s="1" customFormat="1" customHeight="1" spans="1:6">
      <c r="A7932" s="9" t="str">
        <f>"10110826510"</f>
        <v>10110826510</v>
      </c>
      <c r="B7932" s="10">
        <v>49.64</v>
      </c>
      <c r="C7932" s="9"/>
      <c r="D7932" s="9">
        <f t="shared" si="123"/>
        <v>49.64</v>
      </c>
      <c r="E7932" s="11"/>
      <c r="F7932" s="9"/>
    </row>
    <row r="7933" s="1" customFormat="1" customHeight="1" spans="1:6">
      <c r="A7933" s="9" t="str">
        <f>"10100826511"</f>
        <v>10100826511</v>
      </c>
      <c r="B7933" s="10">
        <v>37.9</v>
      </c>
      <c r="C7933" s="9"/>
      <c r="D7933" s="9">
        <f t="shared" si="123"/>
        <v>37.9</v>
      </c>
      <c r="E7933" s="11"/>
      <c r="F7933" s="9"/>
    </row>
    <row r="7934" s="1" customFormat="1" customHeight="1" spans="1:6">
      <c r="A7934" s="9" t="str">
        <f>"10120826512"</f>
        <v>10120826512</v>
      </c>
      <c r="B7934" s="10">
        <v>41.12</v>
      </c>
      <c r="C7934" s="9"/>
      <c r="D7934" s="9">
        <f t="shared" si="123"/>
        <v>41.12</v>
      </c>
      <c r="E7934" s="11"/>
      <c r="F7934" s="9"/>
    </row>
    <row r="7935" s="1" customFormat="1" customHeight="1" spans="1:6">
      <c r="A7935" s="9" t="str">
        <f>"10210826513"</f>
        <v>10210826513</v>
      </c>
      <c r="B7935" s="10">
        <v>28.24</v>
      </c>
      <c r="C7935" s="9"/>
      <c r="D7935" s="9">
        <f t="shared" si="123"/>
        <v>28.24</v>
      </c>
      <c r="E7935" s="11"/>
      <c r="F7935" s="9"/>
    </row>
    <row r="7936" s="1" customFormat="1" customHeight="1" spans="1:6">
      <c r="A7936" s="9" t="str">
        <f>"10530826514"</f>
        <v>10530826514</v>
      </c>
      <c r="B7936" s="10">
        <v>0</v>
      </c>
      <c r="C7936" s="9"/>
      <c r="D7936" s="9">
        <f t="shared" si="123"/>
        <v>0</v>
      </c>
      <c r="E7936" s="11"/>
      <c r="F7936" s="9" t="s">
        <v>7</v>
      </c>
    </row>
    <row r="7937" s="1" customFormat="1" customHeight="1" spans="1:6">
      <c r="A7937" s="9" t="str">
        <f>"10360826515"</f>
        <v>10360826515</v>
      </c>
      <c r="B7937" s="10">
        <v>35.46</v>
      </c>
      <c r="C7937" s="9"/>
      <c r="D7937" s="9">
        <f t="shared" si="123"/>
        <v>35.46</v>
      </c>
      <c r="E7937" s="11"/>
      <c r="F7937" s="9"/>
    </row>
    <row r="7938" s="1" customFormat="1" customHeight="1" spans="1:6">
      <c r="A7938" s="9" t="str">
        <f>"10360826516"</f>
        <v>10360826516</v>
      </c>
      <c r="B7938" s="10">
        <v>0</v>
      </c>
      <c r="C7938" s="9"/>
      <c r="D7938" s="9">
        <f t="shared" si="123"/>
        <v>0</v>
      </c>
      <c r="E7938" s="11"/>
      <c r="F7938" s="9" t="s">
        <v>7</v>
      </c>
    </row>
    <row r="7939" s="1" customFormat="1" customHeight="1" spans="1:6">
      <c r="A7939" s="9" t="str">
        <f>"10230826517"</f>
        <v>10230826517</v>
      </c>
      <c r="B7939" s="10">
        <v>47.7</v>
      </c>
      <c r="C7939" s="9"/>
      <c r="D7939" s="9">
        <f t="shared" ref="D7939:D8002" si="124">SUM(B7939:C7939)</f>
        <v>47.7</v>
      </c>
      <c r="E7939" s="11"/>
      <c r="F7939" s="9"/>
    </row>
    <row r="7940" s="1" customFormat="1" customHeight="1" spans="1:6">
      <c r="A7940" s="9" t="str">
        <f>"10060826518"</f>
        <v>10060826518</v>
      </c>
      <c r="B7940" s="10">
        <v>45.1</v>
      </c>
      <c r="C7940" s="9"/>
      <c r="D7940" s="9">
        <f t="shared" si="124"/>
        <v>45.1</v>
      </c>
      <c r="E7940" s="11"/>
      <c r="F7940" s="9"/>
    </row>
    <row r="7941" s="1" customFormat="1" customHeight="1" spans="1:6">
      <c r="A7941" s="9" t="str">
        <f>"10460826519"</f>
        <v>10460826519</v>
      </c>
      <c r="B7941" s="10">
        <v>39.57</v>
      </c>
      <c r="C7941" s="9"/>
      <c r="D7941" s="9">
        <f t="shared" si="124"/>
        <v>39.57</v>
      </c>
      <c r="E7941" s="11"/>
      <c r="F7941" s="9"/>
    </row>
    <row r="7942" s="1" customFormat="1" customHeight="1" spans="1:6">
      <c r="A7942" s="9" t="str">
        <f>"10360826520"</f>
        <v>10360826520</v>
      </c>
      <c r="B7942" s="10">
        <v>0</v>
      </c>
      <c r="C7942" s="9"/>
      <c r="D7942" s="9">
        <f t="shared" si="124"/>
        <v>0</v>
      </c>
      <c r="E7942" s="11"/>
      <c r="F7942" s="9" t="s">
        <v>7</v>
      </c>
    </row>
    <row r="7943" s="1" customFormat="1" customHeight="1" spans="1:6">
      <c r="A7943" s="9" t="str">
        <f>"10130826521"</f>
        <v>10130826521</v>
      </c>
      <c r="B7943" s="10">
        <v>47.95</v>
      </c>
      <c r="C7943" s="9"/>
      <c r="D7943" s="9">
        <f t="shared" si="124"/>
        <v>47.95</v>
      </c>
      <c r="E7943" s="11"/>
      <c r="F7943" s="9"/>
    </row>
    <row r="7944" s="1" customFormat="1" customHeight="1" spans="1:6">
      <c r="A7944" s="9" t="str">
        <f>"10110826522"</f>
        <v>10110826522</v>
      </c>
      <c r="B7944" s="10">
        <v>0</v>
      </c>
      <c r="C7944" s="9"/>
      <c r="D7944" s="9">
        <f t="shared" si="124"/>
        <v>0</v>
      </c>
      <c r="E7944" s="11"/>
      <c r="F7944" s="9" t="s">
        <v>7</v>
      </c>
    </row>
    <row r="7945" s="1" customFormat="1" customHeight="1" spans="1:6">
      <c r="A7945" s="9" t="str">
        <f>"10200826523"</f>
        <v>10200826523</v>
      </c>
      <c r="B7945" s="10">
        <v>42.21</v>
      </c>
      <c r="C7945" s="9"/>
      <c r="D7945" s="9">
        <f t="shared" si="124"/>
        <v>42.21</v>
      </c>
      <c r="E7945" s="11"/>
      <c r="F7945" s="9"/>
    </row>
    <row r="7946" s="1" customFormat="1" customHeight="1" spans="1:6">
      <c r="A7946" s="9" t="str">
        <f>"10230826524"</f>
        <v>10230826524</v>
      </c>
      <c r="B7946" s="10">
        <v>0</v>
      </c>
      <c r="C7946" s="9"/>
      <c r="D7946" s="9">
        <f t="shared" si="124"/>
        <v>0</v>
      </c>
      <c r="E7946" s="11"/>
      <c r="F7946" s="9" t="s">
        <v>7</v>
      </c>
    </row>
    <row r="7947" s="1" customFormat="1" customHeight="1" spans="1:6">
      <c r="A7947" s="9" t="str">
        <f>"10300826525"</f>
        <v>10300826525</v>
      </c>
      <c r="B7947" s="10">
        <v>38.07</v>
      </c>
      <c r="C7947" s="9"/>
      <c r="D7947" s="9">
        <f t="shared" si="124"/>
        <v>38.07</v>
      </c>
      <c r="E7947" s="11"/>
      <c r="F7947" s="9"/>
    </row>
    <row r="7948" s="1" customFormat="1" customHeight="1" spans="1:6">
      <c r="A7948" s="9" t="str">
        <f>"10490826526"</f>
        <v>10490826526</v>
      </c>
      <c r="B7948" s="10">
        <v>45.39</v>
      </c>
      <c r="C7948" s="9"/>
      <c r="D7948" s="9">
        <f t="shared" si="124"/>
        <v>45.39</v>
      </c>
      <c r="E7948" s="11"/>
      <c r="F7948" s="9"/>
    </row>
    <row r="7949" s="1" customFormat="1" customHeight="1" spans="1:6">
      <c r="A7949" s="9" t="str">
        <f>"10180826527"</f>
        <v>10180826527</v>
      </c>
      <c r="B7949" s="10">
        <v>33.97</v>
      </c>
      <c r="C7949" s="9"/>
      <c r="D7949" s="9">
        <f t="shared" si="124"/>
        <v>33.97</v>
      </c>
      <c r="E7949" s="11"/>
      <c r="F7949" s="9"/>
    </row>
    <row r="7950" s="1" customFormat="1" customHeight="1" spans="1:6">
      <c r="A7950" s="9" t="str">
        <f>"10280826528"</f>
        <v>10280826528</v>
      </c>
      <c r="B7950" s="10">
        <v>0</v>
      </c>
      <c r="C7950" s="9"/>
      <c r="D7950" s="9">
        <f t="shared" si="124"/>
        <v>0</v>
      </c>
      <c r="E7950" s="11"/>
      <c r="F7950" s="9" t="s">
        <v>7</v>
      </c>
    </row>
    <row r="7951" s="1" customFormat="1" customHeight="1" spans="1:6">
      <c r="A7951" s="9" t="str">
        <f>"10360826529"</f>
        <v>10360826529</v>
      </c>
      <c r="B7951" s="10">
        <v>0</v>
      </c>
      <c r="C7951" s="9"/>
      <c r="D7951" s="9">
        <f t="shared" si="124"/>
        <v>0</v>
      </c>
      <c r="E7951" s="11"/>
      <c r="F7951" s="9" t="s">
        <v>7</v>
      </c>
    </row>
    <row r="7952" s="1" customFormat="1" customHeight="1" spans="1:6">
      <c r="A7952" s="9" t="str">
        <f>"10110826530"</f>
        <v>10110826530</v>
      </c>
      <c r="B7952" s="10">
        <v>0</v>
      </c>
      <c r="C7952" s="9"/>
      <c r="D7952" s="9">
        <f t="shared" si="124"/>
        <v>0</v>
      </c>
      <c r="E7952" s="11"/>
      <c r="F7952" s="9" t="s">
        <v>7</v>
      </c>
    </row>
    <row r="7953" s="1" customFormat="1" customHeight="1" spans="1:6">
      <c r="A7953" s="9" t="str">
        <f>"10280826601"</f>
        <v>10280826601</v>
      </c>
      <c r="B7953" s="10">
        <v>38.99</v>
      </c>
      <c r="C7953" s="9"/>
      <c r="D7953" s="9">
        <f t="shared" si="124"/>
        <v>38.99</v>
      </c>
      <c r="E7953" s="11"/>
      <c r="F7953" s="9"/>
    </row>
    <row r="7954" s="1" customFormat="1" customHeight="1" spans="1:6">
      <c r="A7954" s="9" t="str">
        <f>"10480826602"</f>
        <v>10480826602</v>
      </c>
      <c r="B7954" s="10">
        <v>0</v>
      </c>
      <c r="C7954" s="9"/>
      <c r="D7954" s="9">
        <f t="shared" si="124"/>
        <v>0</v>
      </c>
      <c r="E7954" s="11"/>
      <c r="F7954" s="9" t="s">
        <v>7</v>
      </c>
    </row>
    <row r="7955" s="1" customFormat="1" customHeight="1" spans="1:6">
      <c r="A7955" s="9" t="str">
        <f>"10200826603"</f>
        <v>10200826603</v>
      </c>
      <c r="B7955" s="10">
        <v>41.71</v>
      </c>
      <c r="C7955" s="9"/>
      <c r="D7955" s="9">
        <f t="shared" si="124"/>
        <v>41.71</v>
      </c>
      <c r="E7955" s="11"/>
      <c r="F7955" s="9"/>
    </row>
    <row r="7956" s="1" customFormat="1" customHeight="1" spans="1:6">
      <c r="A7956" s="9" t="str">
        <f>"10070826604"</f>
        <v>10070826604</v>
      </c>
      <c r="B7956" s="10">
        <v>44.46</v>
      </c>
      <c r="C7956" s="9"/>
      <c r="D7956" s="9">
        <f t="shared" si="124"/>
        <v>44.46</v>
      </c>
      <c r="E7956" s="11"/>
      <c r="F7956" s="9"/>
    </row>
    <row r="7957" s="1" customFormat="1" customHeight="1" spans="1:6">
      <c r="A7957" s="9" t="str">
        <f>"10130826605"</f>
        <v>10130826605</v>
      </c>
      <c r="B7957" s="10">
        <v>0</v>
      </c>
      <c r="C7957" s="9"/>
      <c r="D7957" s="9">
        <f t="shared" si="124"/>
        <v>0</v>
      </c>
      <c r="E7957" s="11"/>
      <c r="F7957" s="9" t="s">
        <v>7</v>
      </c>
    </row>
    <row r="7958" s="1" customFormat="1" customHeight="1" spans="1:6">
      <c r="A7958" s="9" t="str">
        <f>"20180826606"</f>
        <v>20180826606</v>
      </c>
      <c r="B7958" s="10">
        <v>36.14</v>
      </c>
      <c r="C7958" s="9"/>
      <c r="D7958" s="9">
        <f t="shared" si="124"/>
        <v>36.14</v>
      </c>
      <c r="E7958" s="11"/>
      <c r="F7958" s="9"/>
    </row>
    <row r="7959" s="1" customFormat="1" customHeight="1" spans="1:6">
      <c r="A7959" s="9" t="str">
        <f>"10300826607"</f>
        <v>10300826607</v>
      </c>
      <c r="B7959" s="10">
        <v>41.15</v>
      </c>
      <c r="C7959" s="9"/>
      <c r="D7959" s="9">
        <f t="shared" si="124"/>
        <v>41.15</v>
      </c>
      <c r="E7959" s="11"/>
      <c r="F7959" s="9"/>
    </row>
    <row r="7960" s="1" customFormat="1" customHeight="1" spans="1:6">
      <c r="A7960" s="9" t="str">
        <f>"10070826608"</f>
        <v>10070826608</v>
      </c>
      <c r="B7960" s="10">
        <v>0</v>
      </c>
      <c r="C7960" s="9"/>
      <c r="D7960" s="9">
        <f t="shared" si="124"/>
        <v>0</v>
      </c>
      <c r="E7960" s="11"/>
      <c r="F7960" s="9" t="s">
        <v>7</v>
      </c>
    </row>
    <row r="7961" s="1" customFormat="1" customHeight="1" spans="1:6">
      <c r="A7961" s="9" t="str">
        <f>"10370826609"</f>
        <v>10370826609</v>
      </c>
      <c r="B7961" s="10">
        <v>0</v>
      </c>
      <c r="C7961" s="9"/>
      <c r="D7961" s="9">
        <f t="shared" si="124"/>
        <v>0</v>
      </c>
      <c r="E7961" s="11"/>
      <c r="F7961" s="9" t="s">
        <v>7</v>
      </c>
    </row>
    <row r="7962" s="1" customFormat="1" customHeight="1" spans="1:6">
      <c r="A7962" s="9" t="str">
        <f>"10490826610"</f>
        <v>10490826610</v>
      </c>
      <c r="B7962" s="10">
        <v>0</v>
      </c>
      <c r="C7962" s="9"/>
      <c r="D7962" s="9">
        <f t="shared" si="124"/>
        <v>0</v>
      </c>
      <c r="E7962" s="11"/>
      <c r="F7962" s="9" t="s">
        <v>7</v>
      </c>
    </row>
    <row r="7963" s="1" customFormat="1" customHeight="1" spans="1:6">
      <c r="A7963" s="9" t="str">
        <f>"10380826611"</f>
        <v>10380826611</v>
      </c>
      <c r="B7963" s="10">
        <v>33.66</v>
      </c>
      <c r="C7963" s="9"/>
      <c r="D7963" s="9">
        <f t="shared" si="124"/>
        <v>33.66</v>
      </c>
      <c r="E7963" s="11"/>
      <c r="F7963" s="9"/>
    </row>
    <row r="7964" s="1" customFormat="1" customHeight="1" spans="1:6">
      <c r="A7964" s="9" t="str">
        <f>"10090826612"</f>
        <v>10090826612</v>
      </c>
      <c r="B7964" s="10">
        <v>38.39</v>
      </c>
      <c r="C7964" s="9"/>
      <c r="D7964" s="9">
        <f t="shared" si="124"/>
        <v>38.39</v>
      </c>
      <c r="E7964" s="11"/>
      <c r="F7964" s="9"/>
    </row>
    <row r="7965" s="1" customFormat="1" customHeight="1" spans="1:6">
      <c r="A7965" s="9" t="str">
        <f>"10240826613"</f>
        <v>10240826613</v>
      </c>
      <c r="B7965" s="10">
        <v>47.58</v>
      </c>
      <c r="C7965" s="9"/>
      <c r="D7965" s="9">
        <f t="shared" si="124"/>
        <v>47.58</v>
      </c>
      <c r="E7965" s="11"/>
      <c r="F7965" s="9"/>
    </row>
    <row r="7966" s="1" customFormat="1" customHeight="1" spans="1:6">
      <c r="A7966" s="9" t="str">
        <f>"10280826614"</f>
        <v>10280826614</v>
      </c>
      <c r="B7966" s="10">
        <v>47.12</v>
      </c>
      <c r="C7966" s="9"/>
      <c r="D7966" s="9">
        <f t="shared" si="124"/>
        <v>47.12</v>
      </c>
      <c r="E7966" s="11"/>
      <c r="F7966" s="9"/>
    </row>
    <row r="7967" s="1" customFormat="1" customHeight="1" spans="1:6">
      <c r="A7967" s="9" t="str">
        <f>"10360826615"</f>
        <v>10360826615</v>
      </c>
      <c r="B7967" s="10">
        <v>0</v>
      </c>
      <c r="C7967" s="9"/>
      <c r="D7967" s="9">
        <f t="shared" si="124"/>
        <v>0</v>
      </c>
      <c r="E7967" s="11"/>
      <c r="F7967" s="9" t="s">
        <v>7</v>
      </c>
    </row>
    <row r="7968" s="1" customFormat="1" customHeight="1" spans="1:6">
      <c r="A7968" s="9" t="str">
        <f>"10360826616"</f>
        <v>10360826616</v>
      </c>
      <c r="B7968" s="10">
        <v>0</v>
      </c>
      <c r="C7968" s="9"/>
      <c r="D7968" s="9">
        <f t="shared" si="124"/>
        <v>0</v>
      </c>
      <c r="E7968" s="11"/>
      <c r="F7968" s="9" t="s">
        <v>7</v>
      </c>
    </row>
    <row r="7969" s="1" customFormat="1" customHeight="1" spans="1:6">
      <c r="A7969" s="9" t="str">
        <f>"10380826617"</f>
        <v>10380826617</v>
      </c>
      <c r="B7969" s="10">
        <v>55.66</v>
      </c>
      <c r="C7969" s="9"/>
      <c r="D7969" s="9">
        <f t="shared" si="124"/>
        <v>55.66</v>
      </c>
      <c r="E7969" s="11"/>
      <c r="F7969" s="9"/>
    </row>
    <row r="7970" s="1" customFormat="1" customHeight="1" spans="1:6">
      <c r="A7970" s="9" t="str">
        <f>"10500826618"</f>
        <v>10500826618</v>
      </c>
      <c r="B7970" s="10">
        <v>33.45</v>
      </c>
      <c r="C7970" s="9"/>
      <c r="D7970" s="9">
        <f t="shared" si="124"/>
        <v>33.45</v>
      </c>
      <c r="E7970" s="11"/>
      <c r="F7970" s="9"/>
    </row>
    <row r="7971" s="1" customFormat="1" customHeight="1" spans="1:6">
      <c r="A7971" s="9" t="str">
        <f>"10100826619"</f>
        <v>10100826619</v>
      </c>
      <c r="B7971" s="10">
        <v>47.81</v>
      </c>
      <c r="C7971" s="9"/>
      <c r="D7971" s="9">
        <f t="shared" si="124"/>
        <v>47.81</v>
      </c>
      <c r="E7971" s="11"/>
      <c r="F7971" s="9"/>
    </row>
    <row r="7972" s="1" customFormat="1" customHeight="1" spans="1:6">
      <c r="A7972" s="9" t="str">
        <f>"10210826620"</f>
        <v>10210826620</v>
      </c>
      <c r="B7972" s="10">
        <v>37.98</v>
      </c>
      <c r="C7972" s="9"/>
      <c r="D7972" s="9">
        <f t="shared" si="124"/>
        <v>37.98</v>
      </c>
      <c r="E7972" s="11"/>
      <c r="F7972" s="9"/>
    </row>
    <row r="7973" s="1" customFormat="1" customHeight="1" spans="1:6">
      <c r="A7973" s="9" t="str">
        <f>"10380826621"</f>
        <v>10380826621</v>
      </c>
      <c r="B7973" s="10">
        <v>34.83</v>
      </c>
      <c r="C7973" s="9"/>
      <c r="D7973" s="9">
        <f t="shared" si="124"/>
        <v>34.83</v>
      </c>
      <c r="E7973" s="11"/>
      <c r="F7973" s="9"/>
    </row>
    <row r="7974" s="1" customFormat="1" customHeight="1" spans="1:6">
      <c r="A7974" s="9" t="str">
        <f>"10230826622"</f>
        <v>10230826622</v>
      </c>
      <c r="B7974" s="10">
        <v>47.16</v>
      </c>
      <c r="C7974" s="9"/>
      <c r="D7974" s="9">
        <f t="shared" si="124"/>
        <v>47.16</v>
      </c>
      <c r="E7974" s="11"/>
      <c r="F7974" s="9"/>
    </row>
    <row r="7975" s="1" customFormat="1" customHeight="1" spans="1:6">
      <c r="A7975" s="9" t="str">
        <f>"10010826623"</f>
        <v>10010826623</v>
      </c>
      <c r="B7975" s="10">
        <v>42.88</v>
      </c>
      <c r="C7975" s="9"/>
      <c r="D7975" s="9">
        <f t="shared" si="124"/>
        <v>42.88</v>
      </c>
      <c r="E7975" s="11"/>
      <c r="F7975" s="9"/>
    </row>
    <row r="7976" s="1" customFormat="1" customHeight="1" spans="1:6">
      <c r="A7976" s="9" t="str">
        <f>"10110826624"</f>
        <v>10110826624</v>
      </c>
      <c r="B7976" s="10">
        <v>0</v>
      </c>
      <c r="C7976" s="9"/>
      <c r="D7976" s="9">
        <f t="shared" si="124"/>
        <v>0</v>
      </c>
      <c r="E7976" s="11"/>
      <c r="F7976" s="9" t="s">
        <v>7</v>
      </c>
    </row>
    <row r="7977" s="1" customFormat="1" customHeight="1" spans="1:6">
      <c r="A7977" s="9" t="str">
        <f>"10200826625"</f>
        <v>10200826625</v>
      </c>
      <c r="B7977" s="10">
        <v>48.58</v>
      </c>
      <c r="C7977" s="9"/>
      <c r="D7977" s="9">
        <f t="shared" si="124"/>
        <v>48.58</v>
      </c>
      <c r="E7977" s="11"/>
      <c r="F7977" s="9"/>
    </row>
    <row r="7978" s="1" customFormat="1" customHeight="1" spans="1:6">
      <c r="A7978" s="9" t="str">
        <f>"10300826626"</f>
        <v>10300826626</v>
      </c>
      <c r="B7978" s="10">
        <v>0</v>
      </c>
      <c r="C7978" s="9"/>
      <c r="D7978" s="9">
        <f t="shared" si="124"/>
        <v>0</v>
      </c>
      <c r="E7978" s="11"/>
      <c r="F7978" s="9" t="s">
        <v>7</v>
      </c>
    </row>
    <row r="7979" s="1" customFormat="1" customHeight="1" spans="1:6">
      <c r="A7979" s="9" t="str">
        <f>"10130826627"</f>
        <v>10130826627</v>
      </c>
      <c r="B7979" s="10">
        <v>53.2</v>
      </c>
      <c r="C7979" s="9"/>
      <c r="D7979" s="9">
        <f t="shared" si="124"/>
        <v>53.2</v>
      </c>
      <c r="E7979" s="11"/>
      <c r="F7979" s="9"/>
    </row>
    <row r="7980" s="1" customFormat="1" customHeight="1" spans="1:6">
      <c r="A7980" s="9" t="str">
        <f>"10070826628"</f>
        <v>10070826628</v>
      </c>
      <c r="B7980" s="10">
        <v>40.92</v>
      </c>
      <c r="C7980" s="9"/>
      <c r="D7980" s="9">
        <f t="shared" si="124"/>
        <v>40.92</v>
      </c>
      <c r="E7980" s="11"/>
      <c r="F7980" s="9"/>
    </row>
    <row r="7981" s="1" customFormat="1" customHeight="1" spans="1:6">
      <c r="A7981" s="9" t="str">
        <f>"10230826629"</f>
        <v>10230826629</v>
      </c>
      <c r="B7981" s="10">
        <v>0</v>
      </c>
      <c r="C7981" s="9"/>
      <c r="D7981" s="9">
        <f t="shared" si="124"/>
        <v>0</v>
      </c>
      <c r="E7981" s="11"/>
      <c r="F7981" s="9" t="s">
        <v>7</v>
      </c>
    </row>
    <row r="7982" s="1" customFormat="1" customHeight="1" spans="1:6">
      <c r="A7982" s="9" t="str">
        <f>"10360826630"</f>
        <v>10360826630</v>
      </c>
      <c r="B7982" s="10">
        <v>35.1</v>
      </c>
      <c r="C7982" s="9"/>
      <c r="D7982" s="9">
        <f t="shared" si="124"/>
        <v>35.1</v>
      </c>
      <c r="E7982" s="11"/>
      <c r="F7982" s="9"/>
    </row>
    <row r="7983" s="1" customFormat="1" customHeight="1" spans="1:6">
      <c r="A7983" s="9" t="str">
        <f>"10140826701"</f>
        <v>10140826701</v>
      </c>
      <c r="B7983" s="10">
        <v>39.46</v>
      </c>
      <c r="C7983" s="9"/>
      <c r="D7983" s="9">
        <f t="shared" si="124"/>
        <v>39.46</v>
      </c>
      <c r="E7983" s="11"/>
      <c r="F7983" s="9"/>
    </row>
    <row r="7984" s="1" customFormat="1" customHeight="1" spans="1:6">
      <c r="A7984" s="9" t="str">
        <f>"10350826702"</f>
        <v>10350826702</v>
      </c>
      <c r="B7984" s="10">
        <v>43.4</v>
      </c>
      <c r="C7984" s="9"/>
      <c r="D7984" s="9">
        <f t="shared" si="124"/>
        <v>43.4</v>
      </c>
      <c r="E7984" s="11"/>
      <c r="F7984" s="9"/>
    </row>
    <row r="7985" s="1" customFormat="1" customHeight="1" spans="1:6">
      <c r="A7985" s="9" t="str">
        <f>"10300826703"</f>
        <v>10300826703</v>
      </c>
      <c r="B7985" s="10">
        <v>0</v>
      </c>
      <c r="C7985" s="9"/>
      <c r="D7985" s="9">
        <f t="shared" si="124"/>
        <v>0</v>
      </c>
      <c r="E7985" s="11"/>
      <c r="F7985" s="9" t="s">
        <v>7</v>
      </c>
    </row>
    <row r="7986" s="1" customFormat="1" customHeight="1" spans="1:6">
      <c r="A7986" s="9" t="str">
        <f>"10360826704"</f>
        <v>10360826704</v>
      </c>
      <c r="B7986" s="10">
        <v>38.34</v>
      </c>
      <c r="C7986" s="9"/>
      <c r="D7986" s="9">
        <f t="shared" si="124"/>
        <v>38.34</v>
      </c>
      <c r="E7986" s="11"/>
      <c r="F7986" s="9"/>
    </row>
    <row r="7987" s="1" customFormat="1" customHeight="1" spans="1:6">
      <c r="A7987" s="9" t="str">
        <f>"10310826705"</f>
        <v>10310826705</v>
      </c>
      <c r="B7987" s="10">
        <v>52.52</v>
      </c>
      <c r="C7987" s="9"/>
      <c r="D7987" s="9">
        <f t="shared" si="124"/>
        <v>52.52</v>
      </c>
      <c r="E7987" s="11"/>
      <c r="F7987" s="9"/>
    </row>
    <row r="7988" s="1" customFormat="1" customHeight="1" spans="1:6">
      <c r="A7988" s="9" t="str">
        <f>"10080826706"</f>
        <v>10080826706</v>
      </c>
      <c r="B7988" s="10">
        <v>43.54</v>
      </c>
      <c r="C7988" s="9"/>
      <c r="D7988" s="9">
        <f t="shared" si="124"/>
        <v>43.54</v>
      </c>
      <c r="E7988" s="11"/>
      <c r="F7988" s="9"/>
    </row>
    <row r="7989" s="1" customFormat="1" customHeight="1" spans="1:6">
      <c r="A7989" s="9" t="str">
        <f>"10510826707"</f>
        <v>10510826707</v>
      </c>
      <c r="B7989" s="10">
        <v>0</v>
      </c>
      <c r="C7989" s="9"/>
      <c r="D7989" s="9">
        <f t="shared" si="124"/>
        <v>0</v>
      </c>
      <c r="E7989" s="11"/>
      <c r="F7989" s="9" t="s">
        <v>7</v>
      </c>
    </row>
    <row r="7990" s="1" customFormat="1" customHeight="1" spans="1:6">
      <c r="A7990" s="9" t="str">
        <f>"10210826708"</f>
        <v>10210826708</v>
      </c>
      <c r="B7990" s="10">
        <v>41.34</v>
      </c>
      <c r="C7990" s="9"/>
      <c r="D7990" s="9">
        <f t="shared" si="124"/>
        <v>41.34</v>
      </c>
      <c r="E7990" s="11"/>
      <c r="F7990" s="9"/>
    </row>
    <row r="7991" s="1" customFormat="1" customHeight="1" spans="1:6">
      <c r="A7991" s="9" t="str">
        <f>"10120826709"</f>
        <v>10120826709</v>
      </c>
      <c r="B7991" s="10">
        <v>42.21</v>
      </c>
      <c r="C7991" s="9"/>
      <c r="D7991" s="9">
        <f t="shared" si="124"/>
        <v>42.21</v>
      </c>
      <c r="E7991" s="11"/>
      <c r="F7991" s="9"/>
    </row>
    <row r="7992" s="1" customFormat="1" customHeight="1" spans="1:6">
      <c r="A7992" s="9" t="str">
        <f>"10210826710"</f>
        <v>10210826710</v>
      </c>
      <c r="B7992" s="10">
        <v>34.49</v>
      </c>
      <c r="C7992" s="9"/>
      <c r="D7992" s="9">
        <f t="shared" si="124"/>
        <v>34.49</v>
      </c>
      <c r="E7992" s="11"/>
      <c r="F7992" s="9"/>
    </row>
    <row r="7993" s="1" customFormat="1" customHeight="1" spans="1:6">
      <c r="A7993" s="9" t="str">
        <f>"10090826711"</f>
        <v>10090826711</v>
      </c>
      <c r="B7993" s="10">
        <v>37.72</v>
      </c>
      <c r="C7993" s="9"/>
      <c r="D7993" s="9">
        <f t="shared" si="124"/>
        <v>37.72</v>
      </c>
      <c r="E7993" s="11"/>
      <c r="F7993" s="9"/>
    </row>
    <row r="7994" s="1" customFormat="1" customHeight="1" spans="1:6">
      <c r="A7994" s="9" t="str">
        <f>"10340826712"</f>
        <v>10340826712</v>
      </c>
      <c r="B7994" s="10">
        <v>36.44</v>
      </c>
      <c r="C7994" s="9"/>
      <c r="D7994" s="9">
        <f t="shared" si="124"/>
        <v>36.44</v>
      </c>
      <c r="E7994" s="11"/>
      <c r="F7994" s="9"/>
    </row>
    <row r="7995" s="1" customFormat="1" customHeight="1" spans="1:6">
      <c r="A7995" s="9" t="str">
        <f>"10280826713"</f>
        <v>10280826713</v>
      </c>
      <c r="B7995" s="10">
        <v>41.63</v>
      </c>
      <c r="C7995" s="9"/>
      <c r="D7995" s="9">
        <f t="shared" si="124"/>
        <v>41.63</v>
      </c>
      <c r="E7995" s="11"/>
      <c r="F7995" s="9"/>
    </row>
    <row r="7996" s="1" customFormat="1" customHeight="1" spans="1:6">
      <c r="A7996" s="9" t="str">
        <f>"10520826714"</f>
        <v>10520826714</v>
      </c>
      <c r="B7996" s="10">
        <v>0</v>
      </c>
      <c r="C7996" s="9"/>
      <c r="D7996" s="9">
        <f t="shared" si="124"/>
        <v>0</v>
      </c>
      <c r="E7996" s="11"/>
      <c r="F7996" s="9" t="s">
        <v>7</v>
      </c>
    </row>
    <row r="7997" s="1" customFormat="1" customHeight="1" spans="1:6">
      <c r="A7997" s="9" t="str">
        <f>"10330826715"</f>
        <v>10330826715</v>
      </c>
      <c r="B7997" s="10">
        <v>0</v>
      </c>
      <c r="C7997" s="9"/>
      <c r="D7997" s="9">
        <f t="shared" si="124"/>
        <v>0</v>
      </c>
      <c r="E7997" s="11"/>
      <c r="F7997" s="9" t="s">
        <v>7</v>
      </c>
    </row>
    <row r="7998" s="1" customFormat="1" customHeight="1" spans="1:6">
      <c r="A7998" s="9" t="str">
        <f>"10300826716"</f>
        <v>10300826716</v>
      </c>
      <c r="B7998" s="10">
        <v>33.21</v>
      </c>
      <c r="C7998" s="9"/>
      <c r="D7998" s="9">
        <f t="shared" si="124"/>
        <v>33.21</v>
      </c>
      <c r="E7998" s="11"/>
      <c r="F7998" s="9"/>
    </row>
    <row r="7999" s="1" customFormat="1" customHeight="1" spans="1:6">
      <c r="A7999" s="9" t="str">
        <f>"10530826717"</f>
        <v>10530826717</v>
      </c>
      <c r="B7999" s="10">
        <v>32.63</v>
      </c>
      <c r="C7999" s="9"/>
      <c r="D7999" s="9">
        <f t="shared" si="124"/>
        <v>32.63</v>
      </c>
      <c r="E7999" s="11"/>
      <c r="F7999" s="9"/>
    </row>
    <row r="8000" s="1" customFormat="1" customHeight="1" spans="1:6">
      <c r="A8000" s="9" t="str">
        <f>"10140826718"</f>
        <v>10140826718</v>
      </c>
      <c r="B8000" s="10">
        <v>44.83</v>
      </c>
      <c r="C8000" s="9"/>
      <c r="D8000" s="9">
        <f t="shared" si="124"/>
        <v>44.83</v>
      </c>
      <c r="E8000" s="11"/>
      <c r="F8000" s="9"/>
    </row>
    <row r="8001" s="1" customFormat="1" customHeight="1" spans="1:6">
      <c r="A8001" s="9" t="str">
        <f>"10360826719"</f>
        <v>10360826719</v>
      </c>
      <c r="B8001" s="10">
        <v>38.51</v>
      </c>
      <c r="C8001" s="9"/>
      <c r="D8001" s="9">
        <f t="shared" si="124"/>
        <v>38.51</v>
      </c>
      <c r="E8001" s="11"/>
      <c r="F8001" s="9"/>
    </row>
    <row r="8002" s="1" customFormat="1" customHeight="1" spans="1:6">
      <c r="A8002" s="9" t="str">
        <f>"10300826720"</f>
        <v>10300826720</v>
      </c>
      <c r="B8002" s="10">
        <v>0</v>
      </c>
      <c r="C8002" s="9"/>
      <c r="D8002" s="9">
        <f t="shared" si="124"/>
        <v>0</v>
      </c>
      <c r="E8002" s="11"/>
      <c r="F8002" s="9" t="s">
        <v>7</v>
      </c>
    </row>
    <row r="8003" s="1" customFormat="1" customHeight="1" spans="1:6">
      <c r="A8003" s="9" t="str">
        <f>"10360826721"</f>
        <v>10360826721</v>
      </c>
      <c r="B8003" s="10">
        <v>34.57</v>
      </c>
      <c r="C8003" s="9"/>
      <c r="D8003" s="9">
        <f t="shared" ref="D8003:D8066" si="125">SUM(B8003:C8003)</f>
        <v>34.57</v>
      </c>
      <c r="E8003" s="11"/>
      <c r="F8003" s="9"/>
    </row>
    <row r="8004" s="1" customFormat="1" customHeight="1" spans="1:6">
      <c r="A8004" s="9" t="str">
        <f>"10510826722"</f>
        <v>10510826722</v>
      </c>
      <c r="B8004" s="10">
        <v>38.92</v>
      </c>
      <c r="C8004" s="9"/>
      <c r="D8004" s="9">
        <f t="shared" si="125"/>
        <v>38.92</v>
      </c>
      <c r="E8004" s="11"/>
      <c r="F8004" s="9"/>
    </row>
    <row r="8005" s="1" customFormat="1" customHeight="1" spans="1:6">
      <c r="A8005" s="9" t="str">
        <f>"10530826723"</f>
        <v>10530826723</v>
      </c>
      <c r="B8005" s="10">
        <v>38.46</v>
      </c>
      <c r="C8005" s="9"/>
      <c r="D8005" s="9">
        <f t="shared" si="125"/>
        <v>38.46</v>
      </c>
      <c r="E8005" s="11"/>
      <c r="F8005" s="9"/>
    </row>
    <row r="8006" s="1" customFormat="1" customHeight="1" spans="1:6">
      <c r="A8006" s="9" t="str">
        <f>"10360826724"</f>
        <v>10360826724</v>
      </c>
      <c r="B8006" s="10">
        <v>40.51</v>
      </c>
      <c r="C8006" s="9"/>
      <c r="D8006" s="9">
        <f t="shared" si="125"/>
        <v>40.51</v>
      </c>
      <c r="E8006" s="11"/>
      <c r="F8006" s="9"/>
    </row>
    <row r="8007" s="1" customFormat="1" customHeight="1" spans="1:6">
      <c r="A8007" s="9" t="str">
        <f>"10300826725"</f>
        <v>10300826725</v>
      </c>
      <c r="B8007" s="10">
        <v>44.75</v>
      </c>
      <c r="C8007" s="9"/>
      <c r="D8007" s="9">
        <f t="shared" si="125"/>
        <v>44.75</v>
      </c>
      <c r="E8007" s="11"/>
      <c r="F8007" s="9"/>
    </row>
    <row r="8008" s="1" customFormat="1" customHeight="1" spans="1:6">
      <c r="A8008" s="9" t="str">
        <f>"10360826726"</f>
        <v>10360826726</v>
      </c>
      <c r="B8008" s="10">
        <v>0</v>
      </c>
      <c r="C8008" s="9"/>
      <c r="D8008" s="9">
        <f t="shared" si="125"/>
        <v>0</v>
      </c>
      <c r="E8008" s="11"/>
      <c r="F8008" s="9" t="s">
        <v>7</v>
      </c>
    </row>
    <row r="8009" s="1" customFormat="1" customHeight="1" spans="1:6">
      <c r="A8009" s="9" t="str">
        <f>"10510826727"</f>
        <v>10510826727</v>
      </c>
      <c r="B8009" s="10">
        <v>38.94</v>
      </c>
      <c r="C8009" s="9"/>
      <c r="D8009" s="9">
        <f t="shared" si="125"/>
        <v>38.94</v>
      </c>
      <c r="E8009" s="11"/>
      <c r="F8009" s="9"/>
    </row>
    <row r="8010" s="1" customFormat="1" customHeight="1" spans="1:6">
      <c r="A8010" s="9" t="str">
        <f>"10360826728"</f>
        <v>10360826728</v>
      </c>
      <c r="B8010" s="10">
        <v>34.46</v>
      </c>
      <c r="C8010" s="9"/>
      <c r="D8010" s="9">
        <f t="shared" si="125"/>
        <v>34.46</v>
      </c>
      <c r="E8010" s="11"/>
      <c r="F8010" s="9"/>
    </row>
    <row r="8011" s="1" customFormat="1" customHeight="1" spans="1:6">
      <c r="A8011" s="9" t="str">
        <f>"10300826729"</f>
        <v>10300826729</v>
      </c>
      <c r="B8011" s="10">
        <v>0</v>
      </c>
      <c r="C8011" s="9">
        <v>10</v>
      </c>
      <c r="D8011" s="9">
        <f t="shared" si="125"/>
        <v>10</v>
      </c>
      <c r="E8011" s="12" t="s">
        <v>8</v>
      </c>
      <c r="F8011" s="9" t="s">
        <v>7</v>
      </c>
    </row>
    <row r="8012" s="1" customFormat="1" customHeight="1" spans="1:6">
      <c r="A8012" s="9" t="str">
        <f>"10070826730"</f>
        <v>10070826730</v>
      </c>
      <c r="B8012" s="10">
        <v>0</v>
      </c>
      <c r="C8012" s="9"/>
      <c r="D8012" s="9">
        <f t="shared" si="125"/>
        <v>0</v>
      </c>
      <c r="E8012" s="11"/>
      <c r="F8012" s="9" t="s">
        <v>7</v>
      </c>
    </row>
    <row r="8013" s="1" customFormat="1" customHeight="1" spans="1:6">
      <c r="A8013" s="9" t="str">
        <f>"10070826801"</f>
        <v>10070826801</v>
      </c>
      <c r="B8013" s="10">
        <v>0</v>
      </c>
      <c r="C8013" s="9"/>
      <c r="D8013" s="9">
        <f t="shared" si="125"/>
        <v>0</v>
      </c>
      <c r="E8013" s="11"/>
      <c r="F8013" s="9" t="s">
        <v>7</v>
      </c>
    </row>
    <row r="8014" s="1" customFormat="1" customHeight="1" spans="1:6">
      <c r="A8014" s="9" t="str">
        <f>"10500826802"</f>
        <v>10500826802</v>
      </c>
      <c r="B8014" s="10">
        <v>33.75</v>
      </c>
      <c r="C8014" s="9"/>
      <c r="D8014" s="9">
        <f t="shared" si="125"/>
        <v>33.75</v>
      </c>
      <c r="E8014" s="11"/>
      <c r="F8014" s="9"/>
    </row>
    <row r="8015" s="1" customFormat="1" customHeight="1" spans="1:6">
      <c r="A8015" s="9" t="str">
        <f>"10430826803"</f>
        <v>10430826803</v>
      </c>
      <c r="B8015" s="10">
        <v>46.79</v>
      </c>
      <c r="C8015" s="9"/>
      <c r="D8015" s="9">
        <f t="shared" si="125"/>
        <v>46.79</v>
      </c>
      <c r="E8015" s="11"/>
      <c r="F8015" s="9"/>
    </row>
    <row r="8016" s="1" customFormat="1" customHeight="1" spans="1:6">
      <c r="A8016" s="9" t="str">
        <f>"10300826804"</f>
        <v>10300826804</v>
      </c>
      <c r="B8016" s="10">
        <v>40.09</v>
      </c>
      <c r="C8016" s="9"/>
      <c r="D8016" s="9">
        <f t="shared" si="125"/>
        <v>40.09</v>
      </c>
      <c r="E8016" s="11"/>
      <c r="F8016" s="9"/>
    </row>
    <row r="8017" s="1" customFormat="1" customHeight="1" spans="1:6">
      <c r="A8017" s="9" t="str">
        <f>"10390826805"</f>
        <v>10390826805</v>
      </c>
      <c r="B8017" s="10">
        <v>45.77</v>
      </c>
      <c r="C8017" s="9"/>
      <c r="D8017" s="9">
        <f t="shared" si="125"/>
        <v>45.77</v>
      </c>
      <c r="E8017" s="11"/>
      <c r="F8017" s="9"/>
    </row>
    <row r="8018" s="1" customFormat="1" customHeight="1" spans="1:6">
      <c r="A8018" s="9" t="str">
        <f>"10360826806"</f>
        <v>10360826806</v>
      </c>
      <c r="B8018" s="10">
        <v>41.4</v>
      </c>
      <c r="C8018" s="9">
        <v>10</v>
      </c>
      <c r="D8018" s="9">
        <f t="shared" si="125"/>
        <v>51.4</v>
      </c>
      <c r="E8018" s="12" t="s">
        <v>8</v>
      </c>
      <c r="F8018" s="9"/>
    </row>
    <row r="8019" s="1" customFormat="1" customHeight="1" spans="1:6">
      <c r="A8019" s="9" t="str">
        <f>"10240826807"</f>
        <v>10240826807</v>
      </c>
      <c r="B8019" s="10">
        <v>43.41</v>
      </c>
      <c r="C8019" s="9"/>
      <c r="D8019" s="9">
        <f t="shared" si="125"/>
        <v>43.41</v>
      </c>
      <c r="E8019" s="11"/>
      <c r="F8019" s="9"/>
    </row>
    <row r="8020" s="1" customFormat="1" customHeight="1" spans="1:6">
      <c r="A8020" s="9" t="str">
        <f>"10120826808"</f>
        <v>10120826808</v>
      </c>
      <c r="B8020" s="10">
        <v>0</v>
      </c>
      <c r="C8020" s="9"/>
      <c r="D8020" s="9">
        <f t="shared" si="125"/>
        <v>0</v>
      </c>
      <c r="E8020" s="11"/>
      <c r="F8020" s="9" t="s">
        <v>7</v>
      </c>
    </row>
    <row r="8021" s="1" customFormat="1" customHeight="1" spans="1:6">
      <c r="A8021" s="9" t="str">
        <f>"10170826809"</f>
        <v>10170826809</v>
      </c>
      <c r="B8021" s="10">
        <v>31.51</v>
      </c>
      <c r="C8021" s="9"/>
      <c r="D8021" s="9">
        <f t="shared" si="125"/>
        <v>31.51</v>
      </c>
      <c r="E8021" s="11"/>
      <c r="F8021" s="9"/>
    </row>
    <row r="8022" s="1" customFormat="1" customHeight="1" spans="1:6">
      <c r="A8022" s="9" t="str">
        <f>"10360826810"</f>
        <v>10360826810</v>
      </c>
      <c r="B8022" s="10">
        <v>32.94</v>
      </c>
      <c r="C8022" s="9"/>
      <c r="D8022" s="9">
        <f t="shared" si="125"/>
        <v>32.94</v>
      </c>
      <c r="E8022" s="11"/>
      <c r="F8022" s="9"/>
    </row>
    <row r="8023" s="1" customFormat="1" customHeight="1" spans="1:6">
      <c r="A8023" s="9" t="str">
        <f>"10410826811"</f>
        <v>10410826811</v>
      </c>
      <c r="B8023" s="10">
        <v>37.61</v>
      </c>
      <c r="C8023" s="9"/>
      <c r="D8023" s="9">
        <f t="shared" si="125"/>
        <v>37.61</v>
      </c>
      <c r="E8023" s="11"/>
      <c r="F8023" s="9"/>
    </row>
    <row r="8024" s="1" customFormat="1" customHeight="1" spans="1:6">
      <c r="A8024" s="9" t="str">
        <f>"10360826812"</f>
        <v>10360826812</v>
      </c>
      <c r="B8024" s="10">
        <v>36.4</v>
      </c>
      <c r="C8024" s="9"/>
      <c r="D8024" s="9">
        <f t="shared" si="125"/>
        <v>36.4</v>
      </c>
      <c r="E8024" s="11"/>
      <c r="F8024" s="9"/>
    </row>
    <row r="8025" s="1" customFormat="1" customHeight="1" spans="1:6">
      <c r="A8025" s="9" t="str">
        <f>"10530826813"</f>
        <v>10530826813</v>
      </c>
      <c r="B8025" s="10">
        <v>45.98</v>
      </c>
      <c r="C8025" s="9"/>
      <c r="D8025" s="9">
        <f t="shared" si="125"/>
        <v>45.98</v>
      </c>
      <c r="E8025" s="11"/>
      <c r="F8025" s="9"/>
    </row>
    <row r="8026" s="1" customFormat="1" customHeight="1" spans="1:6">
      <c r="A8026" s="9" t="str">
        <f>"10080826814"</f>
        <v>10080826814</v>
      </c>
      <c r="B8026" s="10">
        <v>36.96</v>
      </c>
      <c r="C8026" s="9"/>
      <c r="D8026" s="9">
        <f t="shared" si="125"/>
        <v>36.96</v>
      </c>
      <c r="E8026" s="11"/>
      <c r="F8026" s="9"/>
    </row>
    <row r="8027" s="1" customFormat="1" customHeight="1" spans="1:6">
      <c r="A8027" s="9" t="str">
        <f>"10360826815"</f>
        <v>10360826815</v>
      </c>
      <c r="B8027" s="10">
        <v>40.88</v>
      </c>
      <c r="C8027" s="9"/>
      <c r="D8027" s="9">
        <f t="shared" si="125"/>
        <v>40.88</v>
      </c>
      <c r="E8027" s="11"/>
      <c r="F8027" s="9"/>
    </row>
    <row r="8028" s="1" customFormat="1" customHeight="1" spans="1:6">
      <c r="A8028" s="9" t="str">
        <f>"10340826816"</f>
        <v>10340826816</v>
      </c>
      <c r="B8028" s="10">
        <v>0</v>
      </c>
      <c r="C8028" s="9"/>
      <c r="D8028" s="9">
        <f t="shared" si="125"/>
        <v>0</v>
      </c>
      <c r="E8028" s="11"/>
      <c r="F8028" s="9" t="s">
        <v>7</v>
      </c>
    </row>
    <row r="8029" s="1" customFormat="1" customHeight="1" spans="1:6">
      <c r="A8029" s="9" t="str">
        <f>"10210826817"</f>
        <v>10210826817</v>
      </c>
      <c r="B8029" s="10">
        <v>45.52</v>
      </c>
      <c r="C8029" s="9"/>
      <c r="D8029" s="9">
        <f t="shared" si="125"/>
        <v>45.52</v>
      </c>
      <c r="E8029" s="11"/>
      <c r="F8029" s="9"/>
    </row>
    <row r="8030" s="1" customFormat="1" customHeight="1" spans="1:6">
      <c r="A8030" s="9" t="str">
        <f>"10400826818"</f>
        <v>10400826818</v>
      </c>
      <c r="B8030" s="10">
        <v>0</v>
      </c>
      <c r="C8030" s="9"/>
      <c r="D8030" s="9">
        <f t="shared" si="125"/>
        <v>0</v>
      </c>
      <c r="E8030" s="11"/>
      <c r="F8030" s="9" t="s">
        <v>7</v>
      </c>
    </row>
    <row r="8031" s="1" customFormat="1" customHeight="1" spans="1:6">
      <c r="A8031" s="9" t="str">
        <f>"10240826819"</f>
        <v>10240826819</v>
      </c>
      <c r="B8031" s="10">
        <v>0</v>
      </c>
      <c r="C8031" s="9"/>
      <c r="D8031" s="9">
        <f t="shared" si="125"/>
        <v>0</v>
      </c>
      <c r="E8031" s="11"/>
      <c r="F8031" s="9" t="s">
        <v>7</v>
      </c>
    </row>
    <row r="8032" s="1" customFormat="1" customHeight="1" spans="1:6">
      <c r="A8032" s="9" t="str">
        <f>"10330826820"</f>
        <v>10330826820</v>
      </c>
      <c r="B8032" s="10">
        <v>37.99</v>
      </c>
      <c r="C8032" s="9"/>
      <c r="D8032" s="9">
        <f t="shared" si="125"/>
        <v>37.99</v>
      </c>
      <c r="E8032" s="11"/>
      <c r="F8032" s="9"/>
    </row>
    <row r="8033" s="1" customFormat="1" customHeight="1" spans="1:6">
      <c r="A8033" s="9" t="str">
        <f>"10280826821"</f>
        <v>10280826821</v>
      </c>
      <c r="B8033" s="10">
        <v>44.55</v>
      </c>
      <c r="C8033" s="9"/>
      <c r="D8033" s="9">
        <f t="shared" si="125"/>
        <v>44.55</v>
      </c>
      <c r="E8033" s="11"/>
      <c r="F8033" s="9"/>
    </row>
    <row r="8034" s="1" customFormat="1" customHeight="1" spans="1:6">
      <c r="A8034" s="9" t="str">
        <f>"10330826822"</f>
        <v>10330826822</v>
      </c>
      <c r="B8034" s="10">
        <v>0</v>
      </c>
      <c r="C8034" s="9"/>
      <c r="D8034" s="9">
        <f t="shared" si="125"/>
        <v>0</v>
      </c>
      <c r="E8034" s="11"/>
      <c r="F8034" s="9" t="s">
        <v>7</v>
      </c>
    </row>
    <row r="8035" s="1" customFormat="1" customHeight="1" spans="1:6">
      <c r="A8035" s="9" t="str">
        <f>"10330826823"</f>
        <v>10330826823</v>
      </c>
      <c r="B8035" s="10">
        <v>0</v>
      </c>
      <c r="C8035" s="9"/>
      <c r="D8035" s="9">
        <f t="shared" si="125"/>
        <v>0</v>
      </c>
      <c r="E8035" s="11"/>
      <c r="F8035" s="9" t="s">
        <v>7</v>
      </c>
    </row>
    <row r="8036" s="1" customFormat="1" customHeight="1" spans="1:6">
      <c r="A8036" s="9" t="str">
        <f>"10120826824"</f>
        <v>10120826824</v>
      </c>
      <c r="B8036" s="10">
        <v>0</v>
      </c>
      <c r="C8036" s="9"/>
      <c r="D8036" s="9">
        <f t="shared" si="125"/>
        <v>0</v>
      </c>
      <c r="E8036" s="11"/>
      <c r="F8036" s="9" t="s">
        <v>7</v>
      </c>
    </row>
    <row r="8037" s="1" customFormat="1" customHeight="1" spans="1:6">
      <c r="A8037" s="9" t="str">
        <f>"10440826825"</f>
        <v>10440826825</v>
      </c>
      <c r="B8037" s="10">
        <v>35.48</v>
      </c>
      <c r="C8037" s="9"/>
      <c r="D8037" s="9">
        <f t="shared" si="125"/>
        <v>35.48</v>
      </c>
      <c r="E8037" s="11"/>
      <c r="F8037" s="9"/>
    </row>
    <row r="8038" s="1" customFormat="1" customHeight="1" spans="1:6">
      <c r="A8038" s="9" t="str">
        <f>"10510826826"</f>
        <v>10510826826</v>
      </c>
      <c r="B8038" s="10">
        <v>0</v>
      </c>
      <c r="C8038" s="9"/>
      <c r="D8038" s="9">
        <f t="shared" si="125"/>
        <v>0</v>
      </c>
      <c r="E8038" s="11"/>
      <c r="F8038" s="9" t="s">
        <v>7</v>
      </c>
    </row>
    <row r="8039" s="1" customFormat="1" customHeight="1" spans="1:6">
      <c r="A8039" s="9" t="str">
        <f>"10200826827"</f>
        <v>10200826827</v>
      </c>
      <c r="B8039" s="10">
        <v>32.06</v>
      </c>
      <c r="C8039" s="9"/>
      <c r="D8039" s="9">
        <f t="shared" si="125"/>
        <v>32.06</v>
      </c>
      <c r="E8039" s="11"/>
      <c r="F8039" s="9"/>
    </row>
    <row r="8040" s="1" customFormat="1" customHeight="1" spans="1:6">
      <c r="A8040" s="9" t="str">
        <f>"10360826828"</f>
        <v>10360826828</v>
      </c>
      <c r="B8040" s="10">
        <v>46.16</v>
      </c>
      <c r="C8040" s="9"/>
      <c r="D8040" s="9">
        <f t="shared" si="125"/>
        <v>46.16</v>
      </c>
      <c r="E8040" s="11"/>
      <c r="F8040" s="9"/>
    </row>
    <row r="8041" s="1" customFormat="1" customHeight="1" spans="1:6">
      <c r="A8041" s="9" t="str">
        <f>"10230826829"</f>
        <v>10230826829</v>
      </c>
      <c r="B8041" s="10">
        <v>38.32</v>
      </c>
      <c r="C8041" s="9"/>
      <c r="D8041" s="9">
        <f t="shared" si="125"/>
        <v>38.32</v>
      </c>
      <c r="E8041" s="11"/>
      <c r="F8041" s="9"/>
    </row>
    <row r="8042" s="1" customFormat="1" customHeight="1" spans="1:6">
      <c r="A8042" s="9" t="str">
        <f>"10360826830"</f>
        <v>10360826830</v>
      </c>
      <c r="B8042" s="10">
        <v>32.08</v>
      </c>
      <c r="C8042" s="9"/>
      <c r="D8042" s="9">
        <f t="shared" si="125"/>
        <v>32.08</v>
      </c>
      <c r="E8042" s="11"/>
      <c r="F8042" s="9"/>
    </row>
    <row r="8043" s="1" customFormat="1" customHeight="1" spans="1:6">
      <c r="A8043" s="9" t="str">
        <f>"10130826901"</f>
        <v>10130826901</v>
      </c>
      <c r="B8043" s="10">
        <v>0</v>
      </c>
      <c r="C8043" s="9"/>
      <c r="D8043" s="9">
        <f t="shared" si="125"/>
        <v>0</v>
      </c>
      <c r="E8043" s="11"/>
      <c r="F8043" s="9" t="s">
        <v>7</v>
      </c>
    </row>
    <row r="8044" s="1" customFormat="1" customHeight="1" spans="1:6">
      <c r="A8044" s="9" t="str">
        <f>"10440826902"</f>
        <v>10440826902</v>
      </c>
      <c r="B8044" s="10">
        <v>0</v>
      </c>
      <c r="C8044" s="9"/>
      <c r="D8044" s="9">
        <f t="shared" si="125"/>
        <v>0</v>
      </c>
      <c r="E8044" s="11"/>
      <c r="F8044" s="9" t="s">
        <v>7</v>
      </c>
    </row>
    <row r="8045" s="1" customFormat="1" customHeight="1" spans="1:6">
      <c r="A8045" s="9" t="str">
        <f>"10170826903"</f>
        <v>10170826903</v>
      </c>
      <c r="B8045" s="10">
        <v>39.31</v>
      </c>
      <c r="C8045" s="9"/>
      <c r="D8045" s="9">
        <f t="shared" si="125"/>
        <v>39.31</v>
      </c>
      <c r="E8045" s="11"/>
      <c r="F8045" s="9"/>
    </row>
    <row r="8046" s="1" customFormat="1" customHeight="1" spans="1:6">
      <c r="A8046" s="9" t="str">
        <f>"10440826904"</f>
        <v>10440826904</v>
      </c>
      <c r="B8046" s="10">
        <v>45</v>
      </c>
      <c r="C8046" s="9"/>
      <c r="D8046" s="9">
        <f t="shared" si="125"/>
        <v>45</v>
      </c>
      <c r="E8046" s="11"/>
      <c r="F8046" s="9"/>
    </row>
    <row r="8047" s="1" customFormat="1" customHeight="1" spans="1:6">
      <c r="A8047" s="9" t="str">
        <f>"10240826905"</f>
        <v>10240826905</v>
      </c>
      <c r="B8047" s="10">
        <v>0</v>
      </c>
      <c r="C8047" s="9"/>
      <c r="D8047" s="9">
        <f t="shared" si="125"/>
        <v>0</v>
      </c>
      <c r="E8047" s="11"/>
      <c r="F8047" s="9" t="s">
        <v>7</v>
      </c>
    </row>
    <row r="8048" s="1" customFormat="1" customHeight="1" spans="1:6">
      <c r="A8048" s="9" t="str">
        <f>"10360826906"</f>
        <v>10360826906</v>
      </c>
      <c r="B8048" s="10">
        <v>45.68</v>
      </c>
      <c r="C8048" s="9"/>
      <c r="D8048" s="9">
        <f t="shared" si="125"/>
        <v>45.68</v>
      </c>
      <c r="E8048" s="11"/>
      <c r="F8048" s="9"/>
    </row>
    <row r="8049" s="1" customFormat="1" customHeight="1" spans="1:6">
      <c r="A8049" s="9" t="str">
        <f>"10200826907"</f>
        <v>10200826907</v>
      </c>
      <c r="B8049" s="10">
        <v>42.58</v>
      </c>
      <c r="C8049" s="9"/>
      <c r="D8049" s="9">
        <f t="shared" si="125"/>
        <v>42.58</v>
      </c>
      <c r="E8049" s="11"/>
      <c r="F8049" s="9"/>
    </row>
    <row r="8050" s="1" customFormat="1" customHeight="1" spans="1:6">
      <c r="A8050" s="9" t="str">
        <f>"10170826908"</f>
        <v>10170826908</v>
      </c>
      <c r="B8050" s="10">
        <v>46.8</v>
      </c>
      <c r="C8050" s="9"/>
      <c r="D8050" s="9">
        <f t="shared" si="125"/>
        <v>46.8</v>
      </c>
      <c r="E8050" s="11"/>
      <c r="F8050" s="9"/>
    </row>
    <row r="8051" s="1" customFormat="1" customHeight="1" spans="1:6">
      <c r="A8051" s="9" t="str">
        <f>"10410826909"</f>
        <v>10410826909</v>
      </c>
      <c r="B8051" s="10">
        <v>0</v>
      </c>
      <c r="C8051" s="9"/>
      <c r="D8051" s="9">
        <f t="shared" si="125"/>
        <v>0</v>
      </c>
      <c r="E8051" s="11"/>
      <c r="F8051" s="9" t="s">
        <v>7</v>
      </c>
    </row>
    <row r="8052" s="1" customFormat="1" customHeight="1" spans="1:6">
      <c r="A8052" s="9" t="str">
        <f>"10360826910"</f>
        <v>10360826910</v>
      </c>
      <c r="B8052" s="10">
        <v>38.19</v>
      </c>
      <c r="C8052" s="9"/>
      <c r="D8052" s="9">
        <f t="shared" si="125"/>
        <v>38.19</v>
      </c>
      <c r="E8052" s="11"/>
      <c r="F8052" s="9"/>
    </row>
    <row r="8053" s="1" customFormat="1" customHeight="1" spans="1:6">
      <c r="A8053" s="9" t="str">
        <f>"10500826911"</f>
        <v>10500826911</v>
      </c>
      <c r="B8053" s="10">
        <v>39.41</v>
      </c>
      <c r="C8053" s="9"/>
      <c r="D8053" s="9">
        <f t="shared" si="125"/>
        <v>39.41</v>
      </c>
      <c r="E8053" s="11"/>
      <c r="F8053" s="9"/>
    </row>
    <row r="8054" s="1" customFormat="1" customHeight="1" spans="1:6">
      <c r="A8054" s="9" t="str">
        <f>"10360826912"</f>
        <v>10360826912</v>
      </c>
      <c r="B8054" s="10">
        <v>29.23</v>
      </c>
      <c r="C8054" s="9"/>
      <c r="D8054" s="9">
        <f t="shared" si="125"/>
        <v>29.23</v>
      </c>
      <c r="E8054" s="11"/>
      <c r="F8054" s="9"/>
    </row>
    <row r="8055" s="1" customFormat="1" customHeight="1" spans="1:6">
      <c r="A8055" s="9" t="str">
        <f>"10520826913"</f>
        <v>10520826913</v>
      </c>
      <c r="B8055" s="10">
        <v>41.14</v>
      </c>
      <c r="C8055" s="9"/>
      <c r="D8055" s="9">
        <f t="shared" si="125"/>
        <v>41.14</v>
      </c>
      <c r="E8055" s="11"/>
      <c r="F8055" s="9"/>
    </row>
    <row r="8056" s="1" customFormat="1" customHeight="1" spans="1:6">
      <c r="A8056" s="9" t="str">
        <f>"10120826914"</f>
        <v>10120826914</v>
      </c>
      <c r="B8056" s="10">
        <v>0</v>
      </c>
      <c r="C8056" s="9"/>
      <c r="D8056" s="9">
        <f t="shared" si="125"/>
        <v>0</v>
      </c>
      <c r="E8056" s="11"/>
      <c r="F8056" s="9" t="s">
        <v>7</v>
      </c>
    </row>
    <row r="8057" s="1" customFormat="1" customHeight="1" spans="1:6">
      <c r="A8057" s="9" t="str">
        <f>"10360826915"</f>
        <v>10360826915</v>
      </c>
      <c r="B8057" s="10">
        <v>0</v>
      </c>
      <c r="C8057" s="9"/>
      <c r="D8057" s="9">
        <f t="shared" si="125"/>
        <v>0</v>
      </c>
      <c r="E8057" s="11"/>
      <c r="F8057" s="9" t="s">
        <v>7</v>
      </c>
    </row>
    <row r="8058" s="1" customFormat="1" customHeight="1" spans="1:6">
      <c r="A8058" s="9" t="str">
        <f>"10110826916"</f>
        <v>10110826916</v>
      </c>
      <c r="B8058" s="10">
        <v>0</v>
      </c>
      <c r="C8058" s="9"/>
      <c r="D8058" s="9">
        <f t="shared" si="125"/>
        <v>0</v>
      </c>
      <c r="E8058" s="11"/>
      <c r="F8058" s="9" t="s">
        <v>7</v>
      </c>
    </row>
    <row r="8059" s="1" customFormat="1" customHeight="1" spans="1:6">
      <c r="A8059" s="9" t="str">
        <f>"10170826917"</f>
        <v>10170826917</v>
      </c>
      <c r="B8059" s="10">
        <v>33.89</v>
      </c>
      <c r="C8059" s="9"/>
      <c r="D8059" s="9">
        <f t="shared" si="125"/>
        <v>33.89</v>
      </c>
      <c r="E8059" s="11"/>
      <c r="F8059" s="9"/>
    </row>
    <row r="8060" s="1" customFormat="1" customHeight="1" spans="1:6">
      <c r="A8060" s="9" t="str">
        <f>"10330826918"</f>
        <v>10330826918</v>
      </c>
      <c r="B8060" s="10">
        <v>39.29</v>
      </c>
      <c r="C8060" s="9"/>
      <c r="D8060" s="9">
        <f t="shared" si="125"/>
        <v>39.29</v>
      </c>
      <c r="E8060" s="11"/>
      <c r="F8060" s="9"/>
    </row>
    <row r="8061" s="1" customFormat="1" customHeight="1" spans="1:6">
      <c r="A8061" s="9" t="str">
        <f>"10530826919"</f>
        <v>10530826919</v>
      </c>
      <c r="B8061" s="10">
        <v>40.24</v>
      </c>
      <c r="C8061" s="9"/>
      <c r="D8061" s="9">
        <f t="shared" si="125"/>
        <v>40.24</v>
      </c>
      <c r="E8061" s="11"/>
      <c r="F8061" s="9"/>
    </row>
    <row r="8062" s="1" customFormat="1" customHeight="1" spans="1:6">
      <c r="A8062" s="9" t="str">
        <f>"10180826920"</f>
        <v>10180826920</v>
      </c>
      <c r="B8062" s="10">
        <v>0</v>
      </c>
      <c r="C8062" s="9"/>
      <c r="D8062" s="9">
        <f t="shared" si="125"/>
        <v>0</v>
      </c>
      <c r="E8062" s="11"/>
      <c r="F8062" s="9" t="s">
        <v>7</v>
      </c>
    </row>
    <row r="8063" s="1" customFormat="1" customHeight="1" spans="1:6">
      <c r="A8063" s="9" t="str">
        <f>"10360826921"</f>
        <v>10360826921</v>
      </c>
      <c r="B8063" s="10">
        <v>0</v>
      </c>
      <c r="C8063" s="9"/>
      <c r="D8063" s="9">
        <f t="shared" si="125"/>
        <v>0</v>
      </c>
      <c r="E8063" s="11"/>
      <c r="F8063" s="9" t="s">
        <v>7</v>
      </c>
    </row>
    <row r="8064" s="1" customFormat="1" customHeight="1" spans="1:6">
      <c r="A8064" s="9" t="str">
        <f>"10130826922"</f>
        <v>10130826922</v>
      </c>
      <c r="B8064" s="10">
        <v>39.72</v>
      </c>
      <c r="C8064" s="9"/>
      <c r="D8064" s="9">
        <f t="shared" si="125"/>
        <v>39.72</v>
      </c>
      <c r="E8064" s="11"/>
      <c r="F8064" s="9"/>
    </row>
    <row r="8065" s="1" customFormat="1" customHeight="1" spans="1:6">
      <c r="A8065" s="9" t="str">
        <f>"10270826923"</f>
        <v>10270826923</v>
      </c>
      <c r="B8065" s="10">
        <v>43.54</v>
      </c>
      <c r="C8065" s="9"/>
      <c r="D8065" s="9">
        <f t="shared" si="125"/>
        <v>43.54</v>
      </c>
      <c r="E8065" s="11"/>
      <c r="F8065" s="9"/>
    </row>
    <row r="8066" s="1" customFormat="1" customHeight="1" spans="1:6">
      <c r="A8066" s="9" t="str">
        <f>"10360826924"</f>
        <v>10360826924</v>
      </c>
      <c r="B8066" s="10">
        <v>37.99</v>
      </c>
      <c r="C8066" s="9"/>
      <c r="D8066" s="9">
        <f t="shared" si="125"/>
        <v>37.99</v>
      </c>
      <c r="E8066" s="11"/>
      <c r="F8066" s="9"/>
    </row>
    <row r="8067" s="1" customFormat="1" customHeight="1" spans="1:6">
      <c r="A8067" s="9" t="str">
        <f>"10130826925"</f>
        <v>10130826925</v>
      </c>
      <c r="B8067" s="10">
        <v>74.65</v>
      </c>
      <c r="C8067" s="9"/>
      <c r="D8067" s="9">
        <f t="shared" ref="D8067:D8130" si="126">SUM(B8067:C8067)</f>
        <v>74.65</v>
      </c>
      <c r="E8067" s="11"/>
      <c r="F8067" s="9"/>
    </row>
    <row r="8068" s="1" customFormat="1" customHeight="1" spans="1:6">
      <c r="A8068" s="9" t="str">
        <f>"10230826926"</f>
        <v>10230826926</v>
      </c>
      <c r="B8068" s="10">
        <v>45.23</v>
      </c>
      <c r="C8068" s="9"/>
      <c r="D8068" s="9">
        <f t="shared" si="126"/>
        <v>45.23</v>
      </c>
      <c r="E8068" s="11"/>
      <c r="F8068" s="9"/>
    </row>
    <row r="8069" s="1" customFormat="1" customHeight="1" spans="1:6">
      <c r="A8069" s="9" t="str">
        <f>"10380826927"</f>
        <v>10380826927</v>
      </c>
      <c r="B8069" s="10">
        <v>41.39</v>
      </c>
      <c r="C8069" s="9"/>
      <c r="D8069" s="9">
        <f t="shared" si="126"/>
        <v>41.39</v>
      </c>
      <c r="E8069" s="11"/>
      <c r="F8069" s="9"/>
    </row>
    <row r="8070" s="1" customFormat="1" customHeight="1" spans="1:6">
      <c r="A8070" s="9" t="str">
        <f>"10500826928"</f>
        <v>10500826928</v>
      </c>
      <c r="B8070" s="10">
        <v>41.69</v>
      </c>
      <c r="C8070" s="9">
        <v>10</v>
      </c>
      <c r="D8070" s="9">
        <f t="shared" si="126"/>
        <v>51.69</v>
      </c>
      <c r="E8070" s="12" t="s">
        <v>8</v>
      </c>
      <c r="F8070" s="9"/>
    </row>
    <row r="8071" s="1" customFormat="1" customHeight="1" spans="1:6">
      <c r="A8071" s="9" t="str">
        <f>"10170826929"</f>
        <v>10170826929</v>
      </c>
      <c r="B8071" s="10">
        <v>45.27</v>
      </c>
      <c r="C8071" s="9"/>
      <c r="D8071" s="9">
        <f t="shared" si="126"/>
        <v>45.27</v>
      </c>
      <c r="E8071" s="11"/>
      <c r="F8071" s="9"/>
    </row>
    <row r="8072" s="1" customFormat="1" customHeight="1" spans="1:6">
      <c r="A8072" s="9" t="str">
        <f>"10360826930"</f>
        <v>10360826930</v>
      </c>
      <c r="B8072" s="10">
        <v>0</v>
      </c>
      <c r="C8072" s="9"/>
      <c r="D8072" s="9">
        <f t="shared" si="126"/>
        <v>0</v>
      </c>
      <c r="E8072" s="11"/>
      <c r="F8072" s="9" t="s">
        <v>7</v>
      </c>
    </row>
    <row r="8073" s="1" customFormat="1" customHeight="1" spans="1:6">
      <c r="A8073" s="9" t="str">
        <f>"10520827001"</f>
        <v>10520827001</v>
      </c>
      <c r="B8073" s="10">
        <v>0</v>
      </c>
      <c r="C8073" s="9"/>
      <c r="D8073" s="9">
        <f t="shared" si="126"/>
        <v>0</v>
      </c>
      <c r="E8073" s="11"/>
      <c r="F8073" s="9" t="s">
        <v>7</v>
      </c>
    </row>
    <row r="8074" s="1" customFormat="1" customHeight="1" spans="1:6">
      <c r="A8074" s="9" t="str">
        <f>"10230827002"</f>
        <v>10230827002</v>
      </c>
      <c r="B8074" s="10">
        <v>41.01</v>
      </c>
      <c r="C8074" s="9"/>
      <c r="D8074" s="9">
        <f t="shared" si="126"/>
        <v>41.01</v>
      </c>
      <c r="E8074" s="11"/>
      <c r="F8074" s="9"/>
    </row>
    <row r="8075" s="1" customFormat="1" customHeight="1" spans="1:6">
      <c r="A8075" s="9" t="str">
        <f>"10360827003"</f>
        <v>10360827003</v>
      </c>
      <c r="B8075" s="10">
        <v>44.09</v>
      </c>
      <c r="C8075" s="9"/>
      <c r="D8075" s="9">
        <f t="shared" si="126"/>
        <v>44.09</v>
      </c>
      <c r="E8075" s="11"/>
      <c r="F8075" s="9"/>
    </row>
    <row r="8076" s="1" customFormat="1" customHeight="1" spans="1:6">
      <c r="A8076" s="9" t="str">
        <f>"10240827004"</f>
        <v>10240827004</v>
      </c>
      <c r="B8076" s="10">
        <v>0</v>
      </c>
      <c r="C8076" s="9"/>
      <c r="D8076" s="9">
        <f t="shared" si="126"/>
        <v>0</v>
      </c>
      <c r="E8076" s="11"/>
      <c r="F8076" s="9" t="s">
        <v>7</v>
      </c>
    </row>
    <row r="8077" s="1" customFormat="1" customHeight="1" spans="1:6">
      <c r="A8077" s="9" t="str">
        <f>"10510827005"</f>
        <v>10510827005</v>
      </c>
      <c r="B8077" s="10">
        <v>46.67</v>
      </c>
      <c r="C8077" s="9"/>
      <c r="D8077" s="9">
        <f t="shared" si="126"/>
        <v>46.67</v>
      </c>
      <c r="E8077" s="11"/>
      <c r="F8077" s="9"/>
    </row>
    <row r="8078" s="1" customFormat="1" customHeight="1" spans="1:6">
      <c r="A8078" s="9" t="str">
        <f>"10020827006"</f>
        <v>10020827006</v>
      </c>
      <c r="B8078" s="10">
        <v>0</v>
      </c>
      <c r="C8078" s="9"/>
      <c r="D8078" s="9">
        <f t="shared" si="126"/>
        <v>0</v>
      </c>
      <c r="E8078" s="11"/>
      <c r="F8078" s="9" t="s">
        <v>7</v>
      </c>
    </row>
    <row r="8079" s="1" customFormat="1" customHeight="1" spans="1:6">
      <c r="A8079" s="9" t="str">
        <f>"10090827007"</f>
        <v>10090827007</v>
      </c>
      <c r="B8079" s="10">
        <v>44.07</v>
      </c>
      <c r="C8079" s="9"/>
      <c r="D8079" s="9">
        <f t="shared" si="126"/>
        <v>44.07</v>
      </c>
      <c r="E8079" s="11"/>
      <c r="F8079" s="9"/>
    </row>
    <row r="8080" s="1" customFormat="1" customHeight="1" spans="1:6">
      <c r="A8080" s="9" t="str">
        <f>"10360827008"</f>
        <v>10360827008</v>
      </c>
      <c r="B8080" s="10">
        <v>0</v>
      </c>
      <c r="C8080" s="9"/>
      <c r="D8080" s="9">
        <f t="shared" si="126"/>
        <v>0</v>
      </c>
      <c r="E8080" s="11"/>
      <c r="F8080" s="9" t="s">
        <v>7</v>
      </c>
    </row>
    <row r="8081" s="1" customFormat="1" customHeight="1" spans="1:6">
      <c r="A8081" s="9" t="str">
        <f>"10530827009"</f>
        <v>10530827009</v>
      </c>
      <c r="B8081" s="10">
        <v>43.53</v>
      </c>
      <c r="C8081" s="9"/>
      <c r="D8081" s="9">
        <f t="shared" si="126"/>
        <v>43.53</v>
      </c>
      <c r="E8081" s="11"/>
      <c r="F8081" s="9"/>
    </row>
    <row r="8082" s="1" customFormat="1" customHeight="1" spans="1:6">
      <c r="A8082" s="9" t="str">
        <f>"10380827010"</f>
        <v>10380827010</v>
      </c>
      <c r="B8082" s="10">
        <v>39.73</v>
      </c>
      <c r="C8082" s="9"/>
      <c r="D8082" s="9">
        <f t="shared" si="126"/>
        <v>39.73</v>
      </c>
      <c r="E8082" s="11"/>
      <c r="F8082" s="9"/>
    </row>
    <row r="8083" s="1" customFormat="1" customHeight="1" spans="1:6">
      <c r="A8083" s="9" t="str">
        <f>"10330827011"</f>
        <v>10330827011</v>
      </c>
      <c r="B8083" s="10">
        <v>37.42</v>
      </c>
      <c r="C8083" s="9"/>
      <c r="D8083" s="9">
        <f t="shared" si="126"/>
        <v>37.42</v>
      </c>
      <c r="E8083" s="11"/>
      <c r="F8083" s="9"/>
    </row>
    <row r="8084" s="1" customFormat="1" customHeight="1" spans="1:6">
      <c r="A8084" s="9" t="str">
        <f>"10330827012"</f>
        <v>10330827012</v>
      </c>
      <c r="B8084" s="10">
        <v>40.33</v>
      </c>
      <c r="C8084" s="9"/>
      <c r="D8084" s="9">
        <f t="shared" si="126"/>
        <v>40.33</v>
      </c>
      <c r="E8084" s="11"/>
      <c r="F8084" s="9"/>
    </row>
    <row r="8085" s="1" customFormat="1" customHeight="1" spans="1:6">
      <c r="A8085" s="9" t="str">
        <f>"10140827013"</f>
        <v>10140827013</v>
      </c>
      <c r="B8085" s="10">
        <v>33.16</v>
      </c>
      <c r="C8085" s="9"/>
      <c r="D8085" s="9">
        <f t="shared" si="126"/>
        <v>33.16</v>
      </c>
      <c r="E8085" s="11"/>
      <c r="F8085" s="9"/>
    </row>
    <row r="8086" s="1" customFormat="1" customHeight="1" spans="1:6">
      <c r="A8086" s="9" t="str">
        <f>"10440827014"</f>
        <v>10440827014</v>
      </c>
      <c r="B8086" s="10">
        <v>43.31</v>
      </c>
      <c r="C8086" s="9"/>
      <c r="D8086" s="9">
        <f t="shared" si="126"/>
        <v>43.31</v>
      </c>
      <c r="E8086" s="11"/>
      <c r="F8086" s="9"/>
    </row>
    <row r="8087" s="1" customFormat="1" customHeight="1" spans="1:6">
      <c r="A8087" s="9" t="str">
        <f>"10330827015"</f>
        <v>10330827015</v>
      </c>
      <c r="B8087" s="10">
        <v>49.58</v>
      </c>
      <c r="C8087" s="9"/>
      <c r="D8087" s="9">
        <f t="shared" si="126"/>
        <v>49.58</v>
      </c>
      <c r="E8087" s="11"/>
      <c r="F8087" s="9"/>
    </row>
    <row r="8088" s="1" customFormat="1" customHeight="1" spans="1:6">
      <c r="A8088" s="9" t="str">
        <f>"10340827016"</f>
        <v>10340827016</v>
      </c>
      <c r="B8088" s="10">
        <v>37.17</v>
      </c>
      <c r="C8088" s="9"/>
      <c r="D8088" s="9">
        <f t="shared" si="126"/>
        <v>37.17</v>
      </c>
      <c r="E8088" s="11"/>
      <c r="F8088" s="9"/>
    </row>
    <row r="8089" s="1" customFormat="1" customHeight="1" spans="1:6">
      <c r="A8089" s="9" t="str">
        <f>"10080827017"</f>
        <v>10080827017</v>
      </c>
      <c r="B8089" s="10">
        <v>43.96</v>
      </c>
      <c r="C8089" s="9"/>
      <c r="D8089" s="9">
        <f t="shared" si="126"/>
        <v>43.96</v>
      </c>
      <c r="E8089" s="11"/>
      <c r="F8089" s="9"/>
    </row>
    <row r="8090" s="1" customFormat="1" customHeight="1" spans="1:6">
      <c r="A8090" s="9" t="str">
        <f>"20270827018"</f>
        <v>20270827018</v>
      </c>
      <c r="B8090" s="10">
        <v>36.31</v>
      </c>
      <c r="C8090" s="9"/>
      <c r="D8090" s="9">
        <f t="shared" si="126"/>
        <v>36.31</v>
      </c>
      <c r="E8090" s="11"/>
      <c r="F8090" s="9"/>
    </row>
    <row r="8091" s="1" customFormat="1" customHeight="1" spans="1:6">
      <c r="A8091" s="9" t="str">
        <f>"10210827019"</f>
        <v>10210827019</v>
      </c>
      <c r="B8091" s="10">
        <v>40.78</v>
      </c>
      <c r="C8091" s="9"/>
      <c r="D8091" s="9">
        <f t="shared" si="126"/>
        <v>40.78</v>
      </c>
      <c r="E8091" s="11"/>
      <c r="F8091" s="9"/>
    </row>
    <row r="8092" s="1" customFormat="1" customHeight="1" spans="1:6">
      <c r="A8092" s="9" t="str">
        <f>"10060827020"</f>
        <v>10060827020</v>
      </c>
      <c r="B8092" s="10">
        <v>42.54</v>
      </c>
      <c r="C8092" s="9"/>
      <c r="D8092" s="9">
        <f t="shared" si="126"/>
        <v>42.54</v>
      </c>
      <c r="E8092" s="11"/>
      <c r="F8092" s="9"/>
    </row>
    <row r="8093" s="1" customFormat="1" customHeight="1" spans="1:6">
      <c r="A8093" s="9" t="str">
        <f>"10120827021"</f>
        <v>10120827021</v>
      </c>
      <c r="B8093" s="10">
        <v>40.63</v>
      </c>
      <c r="C8093" s="9"/>
      <c r="D8093" s="9">
        <f t="shared" si="126"/>
        <v>40.63</v>
      </c>
      <c r="E8093" s="11"/>
      <c r="F8093" s="9"/>
    </row>
    <row r="8094" s="1" customFormat="1" customHeight="1" spans="1:6">
      <c r="A8094" s="9" t="str">
        <f>"10340827022"</f>
        <v>10340827022</v>
      </c>
      <c r="B8094" s="10">
        <v>38.76</v>
      </c>
      <c r="C8094" s="9"/>
      <c r="D8094" s="9">
        <f t="shared" si="126"/>
        <v>38.76</v>
      </c>
      <c r="E8094" s="11"/>
      <c r="F8094" s="9"/>
    </row>
    <row r="8095" s="1" customFormat="1" customHeight="1" spans="1:6">
      <c r="A8095" s="9" t="str">
        <f>"10130827023"</f>
        <v>10130827023</v>
      </c>
      <c r="B8095" s="10">
        <v>38.48</v>
      </c>
      <c r="C8095" s="9"/>
      <c r="D8095" s="9">
        <f t="shared" si="126"/>
        <v>38.48</v>
      </c>
      <c r="E8095" s="11"/>
      <c r="F8095" s="9"/>
    </row>
    <row r="8096" s="1" customFormat="1" customHeight="1" spans="1:6">
      <c r="A8096" s="9" t="str">
        <f>"10020827024"</f>
        <v>10020827024</v>
      </c>
      <c r="B8096" s="10">
        <v>45.83</v>
      </c>
      <c r="C8096" s="9"/>
      <c r="D8096" s="9">
        <f t="shared" si="126"/>
        <v>45.83</v>
      </c>
      <c r="E8096" s="11"/>
      <c r="F8096" s="9"/>
    </row>
    <row r="8097" s="1" customFormat="1" customHeight="1" spans="1:6">
      <c r="A8097" s="9" t="str">
        <f>"10530827025"</f>
        <v>10530827025</v>
      </c>
      <c r="B8097" s="10">
        <v>31.83</v>
      </c>
      <c r="C8097" s="9"/>
      <c r="D8097" s="9">
        <f t="shared" si="126"/>
        <v>31.83</v>
      </c>
      <c r="E8097" s="11"/>
      <c r="F8097" s="9"/>
    </row>
    <row r="8098" s="1" customFormat="1" customHeight="1" spans="1:6">
      <c r="A8098" s="9" t="str">
        <f>"10240827026"</f>
        <v>10240827026</v>
      </c>
      <c r="B8098" s="10">
        <v>35.95</v>
      </c>
      <c r="C8098" s="9"/>
      <c r="D8098" s="9">
        <f t="shared" si="126"/>
        <v>35.95</v>
      </c>
      <c r="E8098" s="11"/>
      <c r="F8098" s="9"/>
    </row>
    <row r="8099" s="1" customFormat="1" customHeight="1" spans="1:6">
      <c r="A8099" s="9" t="str">
        <f>"10530827027"</f>
        <v>10530827027</v>
      </c>
      <c r="B8099" s="10">
        <v>32.78</v>
      </c>
      <c r="C8099" s="9"/>
      <c r="D8099" s="9">
        <f t="shared" si="126"/>
        <v>32.78</v>
      </c>
      <c r="E8099" s="11"/>
      <c r="F8099" s="9"/>
    </row>
    <row r="8100" s="1" customFormat="1" customHeight="1" spans="1:6">
      <c r="A8100" s="9" t="str">
        <f>"10070827028"</f>
        <v>10070827028</v>
      </c>
      <c r="B8100" s="10">
        <v>46.85</v>
      </c>
      <c r="C8100" s="9"/>
      <c r="D8100" s="9">
        <f t="shared" si="126"/>
        <v>46.85</v>
      </c>
      <c r="E8100" s="11"/>
      <c r="F8100" s="9"/>
    </row>
    <row r="8101" s="1" customFormat="1" customHeight="1" spans="1:6">
      <c r="A8101" s="9" t="str">
        <f>"10530827029"</f>
        <v>10530827029</v>
      </c>
      <c r="B8101" s="10">
        <v>0</v>
      </c>
      <c r="C8101" s="9"/>
      <c r="D8101" s="9">
        <f t="shared" si="126"/>
        <v>0</v>
      </c>
      <c r="E8101" s="11"/>
      <c r="F8101" s="9" t="s">
        <v>7</v>
      </c>
    </row>
    <row r="8102" s="1" customFormat="1" customHeight="1" spans="1:6">
      <c r="A8102" s="9" t="str">
        <f>"10360827030"</f>
        <v>10360827030</v>
      </c>
      <c r="B8102" s="10">
        <v>37.37</v>
      </c>
      <c r="C8102" s="9"/>
      <c r="D8102" s="9">
        <f t="shared" si="126"/>
        <v>37.37</v>
      </c>
      <c r="E8102" s="11"/>
      <c r="F8102" s="9"/>
    </row>
    <row r="8103" s="1" customFormat="1" customHeight="1" spans="1:6">
      <c r="A8103" s="9" t="str">
        <f>"10340827101"</f>
        <v>10340827101</v>
      </c>
      <c r="B8103" s="10">
        <v>46.48</v>
      </c>
      <c r="C8103" s="9"/>
      <c r="D8103" s="9">
        <f t="shared" si="126"/>
        <v>46.48</v>
      </c>
      <c r="E8103" s="11"/>
      <c r="F8103" s="9"/>
    </row>
    <row r="8104" s="1" customFormat="1" customHeight="1" spans="1:6">
      <c r="A8104" s="9" t="str">
        <f>"20270827102"</f>
        <v>20270827102</v>
      </c>
      <c r="B8104" s="10">
        <v>47.34</v>
      </c>
      <c r="C8104" s="9"/>
      <c r="D8104" s="9">
        <f t="shared" si="126"/>
        <v>47.34</v>
      </c>
      <c r="E8104" s="11"/>
      <c r="F8104" s="9"/>
    </row>
    <row r="8105" s="1" customFormat="1" customHeight="1" spans="1:6">
      <c r="A8105" s="9" t="str">
        <f>"10360827103"</f>
        <v>10360827103</v>
      </c>
      <c r="B8105" s="10">
        <v>40.57</v>
      </c>
      <c r="C8105" s="9"/>
      <c r="D8105" s="9">
        <f t="shared" si="126"/>
        <v>40.57</v>
      </c>
      <c r="E8105" s="11"/>
      <c r="F8105" s="9"/>
    </row>
    <row r="8106" s="1" customFormat="1" customHeight="1" spans="1:6">
      <c r="A8106" s="9" t="str">
        <f>"10360827104"</f>
        <v>10360827104</v>
      </c>
      <c r="B8106" s="10">
        <v>0</v>
      </c>
      <c r="C8106" s="9"/>
      <c r="D8106" s="9">
        <f t="shared" si="126"/>
        <v>0</v>
      </c>
      <c r="E8106" s="11"/>
      <c r="F8106" s="9" t="s">
        <v>7</v>
      </c>
    </row>
    <row r="8107" s="1" customFormat="1" customHeight="1" spans="1:6">
      <c r="A8107" s="9" t="str">
        <f>"10230827105"</f>
        <v>10230827105</v>
      </c>
      <c r="B8107" s="10">
        <v>40.55</v>
      </c>
      <c r="C8107" s="9"/>
      <c r="D8107" s="9">
        <f t="shared" si="126"/>
        <v>40.55</v>
      </c>
      <c r="E8107" s="11"/>
      <c r="F8107" s="9"/>
    </row>
    <row r="8108" s="1" customFormat="1" customHeight="1" spans="1:6">
      <c r="A8108" s="9" t="str">
        <f>"10240827106"</f>
        <v>10240827106</v>
      </c>
      <c r="B8108" s="10">
        <v>51.55</v>
      </c>
      <c r="C8108" s="9"/>
      <c r="D8108" s="9">
        <f t="shared" si="126"/>
        <v>51.55</v>
      </c>
      <c r="E8108" s="11"/>
      <c r="F8108" s="9"/>
    </row>
    <row r="8109" s="1" customFormat="1" customHeight="1" spans="1:6">
      <c r="A8109" s="9" t="str">
        <f>"10130827107"</f>
        <v>10130827107</v>
      </c>
      <c r="B8109" s="10">
        <v>0</v>
      </c>
      <c r="C8109" s="9"/>
      <c r="D8109" s="9">
        <f t="shared" si="126"/>
        <v>0</v>
      </c>
      <c r="E8109" s="11"/>
      <c r="F8109" s="9" t="s">
        <v>7</v>
      </c>
    </row>
    <row r="8110" s="1" customFormat="1" customHeight="1" spans="1:6">
      <c r="A8110" s="9" t="str">
        <f>"10080827108"</f>
        <v>10080827108</v>
      </c>
      <c r="B8110" s="10">
        <v>41.11</v>
      </c>
      <c r="C8110" s="9"/>
      <c r="D8110" s="9">
        <f t="shared" si="126"/>
        <v>41.11</v>
      </c>
      <c r="E8110" s="11"/>
      <c r="F8110" s="9"/>
    </row>
    <row r="8111" s="1" customFormat="1" customHeight="1" spans="1:6">
      <c r="A8111" s="9" t="str">
        <f>"10270827109"</f>
        <v>10270827109</v>
      </c>
      <c r="B8111" s="10">
        <v>43.56</v>
      </c>
      <c r="C8111" s="9"/>
      <c r="D8111" s="9">
        <f t="shared" si="126"/>
        <v>43.56</v>
      </c>
      <c r="E8111" s="11"/>
      <c r="F8111" s="9"/>
    </row>
    <row r="8112" s="1" customFormat="1" customHeight="1" spans="1:6">
      <c r="A8112" s="9" t="str">
        <f>"10210827110"</f>
        <v>10210827110</v>
      </c>
      <c r="B8112" s="10">
        <v>0</v>
      </c>
      <c r="C8112" s="9"/>
      <c r="D8112" s="9">
        <f t="shared" si="126"/>
        <v>0</v>
      </c>
      <c r="E8112" s="11"/>
      <c r="F8112" s="9" t="s">
        <v>7</v>
      </c>
    </row>
    <row r="8113" s="1" customFormat="1" customHeight="1" spans="1:6">
      <c r="A8113" s="9" t="str">
        <f>"10240827111"</f>
        <v>10240827111</v>
      </c>
      <c r="B8113" s="10">
        <v>37.92</v>
      </c>
      <c r="C8113" s="9"/>
      <c r="D8113" s="9">
        <f t="shared" si="126"/>
        <v>37.92</v>
      </c>
      <c r="E8113" s="11"/>
      <c r="F8113" s="9"/>
    </row>
    <row r="8114" s="1" customFormat="1" customHeight="1" spans="1:6">
      <c r="A8114" s="9" t="str">
        <f>"10330827112"</f>
        <v>10330827112</v>
      </c>
      <c r="B8114" s="10">
        <v>0</v>
      </c>
      <c r="C8114" s="9"/>
      <c r="D8114" s="9">
        <f t="shared" si="126"/>
        <v>0</v>
      </c>
      <c r="E8114" s="11"/>
      <c r="F8114" s="9" t="s">
        <v>7</v>
      </c>
    </row>
    <row r="8115" s="1" customFormat="1" customHeight="1" spans="1:6">
      <c r="A8115" s="9" t="str">
        <f>"10480827113"</f>
        <v>10480827113</v>
      </c>
      <c r="B8115" s="10">
        <v>0</v>
      </c>
      <c r="C8115" s="9"/>
      <c r="D8115" s="9">
        <f t="shared" si="126"/>
        <v>0</v>
      </c>
      <c r="E8115" s="11"/>
      <c r="F8115" s="9" t="s">
        <v>7</v>
      </c>
    </row>
    <row r="8116" s="1" customFormat="1" customHeight="1" spans="1:6">
      <c r="A8116" s="9" t="str">
        <f>"10410827114"</f>
        <v>10410827114</v>
      </c>
      <c r="B8116" s="10">
        <v>43.5</v>
      </c>
      <c r="C8116" s="9"/>
      <c r="D8116" s="9">
        <f t="shared" si="126"/>
        <v>43.5</v>
      </c>
      <c r="E8116" s="11"/>
      <c r="F8116" s="9"/>
    </row>
    <row r="8117" s="1" customFormat="1" customHeight="1" spans="1:6">
      <c r="A8117" s="9" t="str">
        <f>"10300827115"</f>
        <v>10300827115</v>
      </c>
      <c r="B8117" s="10">
        <v>38.45</v>
      </c>
      <c r="C8117" s="9"/>
      <c r="D8117" s="9">
        <f t="shared" si="126"/>
        <v>38.45</v>
      </c>
      <c r="E8117" s="11"/>
      <c r="F8117" s="9"/>
    </row>
    <row r="8118" s="1" customFormat="1" customHeight="1" spans="1:6">
      <c r="A8118" s="9" t="str">
        <f>"10240827116"</f>
        <v>10240827116</v>
      </c>
      <c r="B8118" s="10">
        <v>41.66</v>
      </c>
      <c r="C8118" s="9"/>
      <c r="D8118" s="9">
        <f t="shared" si="126"/>
        <v>41.66</v>
      </c>
      <c r="E8118" s="11"/>
      <c r="F8118" s="9"/>
    </row>
    <row r="8119" s="1" customFormat="1" customHeight="1" spans="1:6">
      <c r="A8119" s="9" t="str">
        <f>"10300827117"</f>
        <v>10300827117</v>
      </c>
      <c r="B8119" s="10">
        <v>0</v>
      </c>
      <c r="C8119" s="9"/>
      <c r="D8119" s="9">
        <f t="shared" si="126"/>
        <v>0</v>
      </c>
      <c r="E8119" s="11"/>
      <c r="F8119" s="9" t="s">
        <v>7</v>
      </c>
    </row>
    <row r="8120" s="1" customFormat="1" customHeight="1" spans="1:6">
      <c r="A8120" s="9" t="str">
        <f>"10130827118"</f>
        <v>10130827118</v>
      </c>
      <c r="B8120" s="10">
        <v>38.94</v>
      </c>
      <c r="C8120" s="9"/>
      <c r="D8120" s="9">
        <f t="shared" si="126"/>
        <v>38.94</v>
      </c>
      <c r="E8120" s="11"/>
      <c r="F8120" s="9"/>
    </row>
    <row r="8121" s="1" customFormat="1" customHeight="1" spans="1:6">
      <c r="A8121" s="9" t="str">
        <f>"10360827119"</f>
        <v>10360827119</v>
      </c>
      <c r="B8121" s="10">
        <v>34.24</v>
      </c>
      <c r="C8121" s="9"/>
      <c r="D8121" s="9">
        <f t="shared" si="126"/>
        <v>34.24</v>
      </c>
      <c r="E8121" s="11"/>
      <c r="F8121" s="9"/>
    </row>
    <row r="8122" s="1" customFormat="1" customHeight="1" spans="1:6">
      <c r="A8122" s="9" t="str">
        <f>"10530827120"</f>
        <v>10530827120</v>
      </c>
      <c r="B8122" s="10">
        <v>44.25</v>
      </c>
      <c r="C8122" s="9"/>
      <c r="D8122" s="9">
        <f t="shared" si="126"/>
        <v>44.25</v>
      </c>
      <c r="E8122" s="11"/>
      <c r="F8122" s="9"/>
    </row>
    <row r="8123" s="1" customFormat="1" customHeight="1" spans="1:6">
      <c r="A8123" s="9" t="str">
        <f>"10140827121"</f>
        <v>10140827121</v>
      </c>
      <c r="B8123" s="10">
        <v>42.61</v>
      </c>
      <c r="C8123" s="9"/>
      <c r="D8123" s="9">
        <f t="shared" si="126"/>
        <v>42.61</v>
      </c>
      <c r="E8123" s="11"/>
      <c r="F8123" s="9"/>
    </row>
    <row r="8124" s="1" customFormat="1" customHeight="1" spans="1:6">
      <c r="A8124" s="9" t="str">
        <f>"10340827122"</f>
        <v>10340827122</v>
      </c>
      <c r="B8124" s="10">
        <v>0</v>
      </c>
      <c r="C8124" s="9"/>
      <c r="D8124" s="9">
        <f t="shared" si="126"/>
        <v>0</v>
      </c>
      <c r="E8124" s="11"/>
      <c r="F8124" s="9" t="s">
        <v>7</v>
      </c>
    </row>
    <row r="8125" s="1" customFormat="1" customHeight="1" spans="1:6">
      <c r="A8125" s="9" t="str">
        <f>"10360827123"</f>
        <v>10360827123</v>
      </c>
      <c r="B8125" s="10">
        <v>60.22</v>
      </c>
      <c r="C8125" s="9"/>
      <c r="D8125" s="9">
        <f t="shared" si="126"/>
        <v>60.22</v>
      </c>
      <c r="E8125" s="11"/>
      <c r="F8125" s="9"/>
    </row>
    <row r="8126" s="1" customFormat="1" customHeight="1" spans="1:6">
      <c r="A8126" s="9" t="str">
        <f>"10450827124"</f>
        <v>10450827124</v>
      </c>
      <c r="B8126" s="10">
        <v>35.55</v>
      </c>
      <c r="C8126" s="9"/>
      <c r="D8126" s="9">
        <f t="shared" si="126"/>
        <v>35.55</v>
      </c>
      <c r="E8126" s="11"/>
      <c r="F8126" s="9"/>
    </row>
    <row r="8127" s="1" customFormat="1" customHeight="1" spans="1:6">
      <c r="A8127" s="9" t="str">
        <f>"10080827125"</f>
        <v>10080827125</v>
      </c>
      <c r="B8127" s="10">
        <v>36.66</v>
      </c>
      <c r="C8127" s="9"/>
      <c r="D8127" s="9">
        <f t="shared" si="126"/>
        <v>36.66</v>
      </c>
      <c r="E8127" s="11"/>
      <c r="F8127" s="9"/>
    </row>
    <row r="8128" s="1" customFormat="1" customHeight="1" spans="1:6">
      <c r="A8128" s="9" t="str">
        <f>"10240827126"</f>
        <v>10240827126</v>
      </c>
      <c r="B8128" s="10">
        <v>0</v>
      </c>
      <c r="C8128" s="9"/>
      <c r="D8128" s="9">
        <f t="shared" si="126"/>
        <v>0</v>
      </c>
      <c r="E8128" s="11"/>
      <c r="F8128" s="9" t="s">
        <v>7</v>
      </c>
    </row>
    <row r="8129" s="1" customFormat="1" customHeight="1" spans="1:6">
      <c r="A8129" s="9" t="str">
        <f>"10530827127"</f>
        <v>10530827127</v>
      </c>
      <c r="B8129" s="10">
        <v>47.67</v>
      </c>
      <c r="C8129" s="9"/>
      <c r="D8129" s="9">
        <f t="shared" si="126"/>
        <v>47.67</v>
      </c>
      <c r="E8129" s="11"/>
      <c r="F8129" s="9"/>
    </row>
    <row r="8130" s="1" customFormat="1" customHeight="1" spans="1:6">
      <c r="A8130" s="9" t="str">
        <f>"20180827128"</f>
        <v>20180827128</v>
      </c>
      <c r="B8130" s="10">
        <v>50.02</v>
      </c>
      <c r="C8130" s="9"/>
      <c r="D8130" s="9">
        <f t="shared" si="126"/>
        <v>50.02</v>
      </c>
      <c r="E8130" s="11"/>
      <c r="F8130" s="9"/>
    </row>
    <row r="8131" s="1" customFormat="1" customHeight="1" spans="1:6">
      <c r="A8131" s="9" t="str">
        <f>"10020827129"</f>
        <v>10020827129</v>
      </c>
      <c r="B8131" s="10">
        <v>37.17</v>
      </c>
      <c r="C8131" s="9"/>
      <c r="D8131" s="9">
        <f t="shared" ref="D8131:D8194" si="127">SUM(B8131:C8131)</f>
        <v>37.17</v>
      </c>
      <c r="E8131" s="11"/>
      <c r="F8131" s="9"/>
    </row>
    <row r="8132" s="1" customFormat="1" customHeight="1" spans="1:6">
      <c r="A8132" s="9" t="str">
        <f>"10210827130"</f>
        <v>10210827130</v>
      </c>
      <c r="B8132" s="10">
        <v>40.8</v>
      </c>
      <c r="C8132" s="9"/>
      <c r="D8132" s="9">
        <f t="shared" si="127"/>
        <v>40.8</v>
      </c>
      <c r="E8132" s="11"/>
      <c r="F8132" s="9"/>
    </row>
    <row r="8133" s="1" customFormat="1" customHeight="1" spans="1:6">
      <c r="A8133" s="9" t="str">
        <f>"10440827201"</f>
        <v>10440827201</v>
      </c>
      <c r="B8133" s="10">
        <v>40.03</v>
      </c>
      <c r="C8133" s="9"/>
      <c r="D8133" s="9">
        <f t="shared" si="127"/>
        <v>40.03</v>
      </c>
      <c r="E8133" s="11"/>
      <c r="F8133" s="9"/>
    </row>
    <row r="8134" s="1" customFormat="1" customHeight="1" spans="1:6">
      <c r="A8134" s="9" t="str">
        <f>"10150827202"</f>
        <v>10150827202</v>
      </c>
      <c r="B8134" s="10">
        <v>0</v>
      </c>
      <c r="C8134" s="9"/>
      <c r="D8134" s="9">
        <f t="shared" si="127"/>
        <v>0</v>
      </c>
      <c r="E8134" s="11"/>
      <c r="F8134" s="9" t="s">
        <v>7</v>
      </c>
    </row>
    <row r="8135" s="1" customFormat="1" customHeight="1" spans="1:6">
      <c r="A8135" s="9" t="str">
        <f>"10360827203"</f>
        <v>10360827203</v>
      </c>
      <c r="B8135" s="10">
        <v>0</v>
      </c>
      <c r="C8135" s="9"/>
      <c r="D8135" s="9">
        <f t="shared" si="127"/>
        <v>0</v>
      </c>
      <c r="E8135" s="11"/>
      <c r="F8135" s="9" t="s">
        <v>7</v>
      </c>
    </row>
    <row r="8136" s="1" customFormat="1" customHeight="1" spans="1:6">
      <c r="A8136" s="9" t="str">
        <f>"10360827204"</f>
        <v>10360827204</v>
      </c>
      <c r="B8136" s="10">
        <v>35.9</v>
      </c>
      <c r="C8136" s="9">
        <v>10</v>
      </c>
      <c r="D8136" s="9">
        <f t="shared" si="127"/>
        <v>45.9</v>
      </c>
      <c r="E8136" s="12" t="s">
        <v>8</v>
      </c>
      <c r="F8136" s="9"/>
    </row>
    <row r="8137" s="1" customFormat="1" customHeight="1" spans="1:6">
      <c r="A8137" s="9" t="str">
        <f>"10360827205"</f>
        <v>10360827205</v>
      </c>
      <c r="B8137" s="10">
        <v>32.13</v>
      </c>
      <c r="C8137" s="9"/>
      <c r="D8137" s="9">
        <f t="shared" si="127"/>
        <v>32.13</v>
      </c>
      <c r="E8137" s="11"/>
      <c r="F8137" s="9"/>
    </row>
    <row r="8138" s="1" customFormat="1" customHeight="1" spans="1:6">
      <c r="A8138" s="9" t="str">
        <f>"10470827206"</f>
        <v>10470827206</v>
      </c>
      <c r="B8138" s="10">
        <v>51.31</v>
      </c>
      <c r="C8138" s="9"/>
      <c r="D8138" s="9">
        <f t="shared" si="127"/>
        <v>51.31</v>
      </c>
      <c r="E8138" s="11"/>
      <c r="F8138" s="9"/>
    </row>
    <row r="8139" s="1" customFormat="1" customHeight="1" spans="1:6">
      <c r="A8139" s="9" t="str">
        <f>"10360827207"</f>
        <v>10360827207</v>
      </c>
      <c r="B8139" s="10">
        <v>0</v>
      </c>
      <c r="C8139" s="9"/>
      <c r="D8139" s="9">
        <f t="shared" si="127"/>
        <v>0</v>
      </c>
      <c r="E8139" s="11"/>
      <c r="F8139" s="9" t="s">
        <v>7</v>
      </c>
    </row>
    <row r="8140" s="1" customFormat="1" customHeight="1" spans="1:6">
      <c r="A8140" s="9" t="str">
        <f>"10210827208"</f>
        <v>10210827208</v>
      </c>
      <c r="B8140" s="10">
        <v>40.6</v>
      </c>
      <c r="C8140" s="9"/>
      <c r="D8140" s="9">
        <f t="shared" si="127"/>
        <v>40.6</v>
      </c>
      <c r="E8140" s="11"/>
      <c r="F8140" s="9"/>
    </row>
    <row r="8141" s="1" customFormat="1" customHeight="1" spans="1:6">
      <c r="A8141" s="9" t="str">
        <f>"10020827209"</f>
        <v>10020827209</v>
      </c>
      <c r="B8141" s="10">
        <v>40.21</v>
      </c>
      <c r="C8141" s="9"/>
      <c r="D8141" s="9">
        <f t="shared" si="127"/>
        <v>40.21</v>
      </c>
      <c r="E8141" s="11"/>
      <c r="F8141" s="9"/>
    </row>
    <row r="8142" s="1" customFormat="1" customHeight="1" spans="1:6">
      <c r="A8142" s="9" t="str">
        <f>"10230827210"</f>
        <v>10230827210</v>
      </c>
      <c r="B8142" s="10">
        <v>0</v>
      </c>
      <c r="C8142" s="9"/>
      <c r="D8142" s="9">
        <f t="shared" si="127"/>
        <v>0</v>
      </c>
      <c r="E8142" s="11"/>
      <c r="F8142" s="9" t="s">
        <v>7</v>
      </c>
    </row>
    <row r="8143" s="1" customFormat="1" customHeight="1" spans="1:6">
      <c r="A8143" s="9" t="str">
        <f>"10500827211"</f>
        <v>10500827211</v>
      </c>
      <c r="B8143" s="10">
        <v>0</v>
      </c>
      <c r="C8143" s="9"/>
      <c r="D8143" s="9">
        <f t="shared" si="127"/>
        <v>0</v>
      </c>
      <c r="E8143" s="11"/>
      <c r="F8143" s="9" t="s">
        <v>7</v>
      </c>
    </row>
    <row r="8144" s="1" customFormat="1" customHeight="1" spans="1:6">
      <c r="A8144" s="9" t="str">
        <f>"10130827212"</f>
        <v>10130827212</v>
      </c>
      <c r="B8144" s="10">
        <v>0</v>
      </c>
      <c r="C8144" s="9"/>
      <c r="D8144" s="9">
        <f t="shared" si="127"/>
        <v>0</v>
      </c>
      <c r="E8144" s="11"/>
      <c r="F8144" s="9" t="s">
        <v>7</v>
      </c>
    </row>
    <row r="8145" s="1" customFormat="1" customHeight="1" spans="1:6">
      <c r="A8145" s="9" t="str">
        <f>"10360827213"</f>
        <v>10360827213</v>
      </c>
      <c r="B8145" s="10">
        <v>38.74</v>
      </c>
      <c r="C8145" s="9"/>
      <c r="D8145" s="9">
        <f t="shared" si="127"/>
        <v>38.74</v>
      </c>
      <c r="E8145" s="11"/>
      <c r="F8145" s="9"/>
    </row>
    <row r="8146" s="1" customFormat="1" customHeight="1" spans="1:6">
      <c r="A8146" s="9" t="str">
        <f>"10060827214"</f>
        <v>10060827214</v>
      </c>
      <c r="B8146" s="10">
        <v>40.3</v>
      </c>
      <c r="C8146" s="9"/>
      <c r="D8146" s="9">
        <f t="shared" si="127"/>
        <v>40.3</v>
      </c>
      <c r="E8146" s="11"/>
      <c r="F8146" s="9"/>
    </row>
    <row r="8147" s="1" customFormat="1" customHeight="1" spans="1:6">
      <c r="A8147" s="9" t="str">
        <f>"10300827215"</f>
        <v>10300827215</v>
      </c>
      <c r="B8147" s="10">
        <v>38.24</v>
      </c>
      <c r="C8147" s="9"/>
      <c r="D8147" s="9">
        <f t="shared" si="127"/>
        <v>38.24</v>
      </c>
      <c r="E8147" s="11"/>
      <c r="F8147" s="9"/>
    </row>
    <row r="8148" s="1" customFormat="1" customHeight="1" spans="1:6">
      <c r="A8148" s="9" t="str">
        <f>"10240827216"</f>
        <v>10240827216</v>
      </c>
      <c r="B8148" s="10">
        <v>33.54</v>
      </c>
      <c r="C8148" s="9"/>
      <c r="D8148" s="9">
        <f t="shared" si="127"/>
        <v>33.54</v>
      </c>
      <c r="E8148" s="11"/>
      <c r="F8148" s="9"/>
    </row>
    <row r="8149" s="1" customFormat="1" customHeight="1" spans="1:6">
      <c r="A8149" s="9" t="str">
        <f>"10360827217"</f>
        <v>10360827217</v>
      </c>
      <c r="B8149" s="10">
        <v>35.48</v>
      </c>
      <c r="C8149" s="9"/>
      <c r="D8149" s="9">
        <f t="shared" si="127"/>
        <v>35.48</v>
      </c>
      <c r="E8149" s="11"/>
      <c r="F8149" s="9"/>
    </row>
    <row r="8150" s="1" customFormat="1" customHeight="1" spans="1:6">
      <c r="A8150" s="9" t="str">
        <f>"10020827218"</f>
        <v>10020827218</v>
      </c>
      <c r="B8150" s="10">
        <v>0</v>
      </c>
      <c r="C8150" s="9"/>
      <c r="D8150" s="9">
        <f t="shared" si="127"/>
        <v>0</v>
      </c>
      <c r="E8150" s="11"/>
      <c r="F8150" s="9" t="s">
        <v>7</v>
      </c>
    </row>
    <row r="8151" s="1" customFormat="1" customHeight="1" spans="1:6">
      <c r="A8151" s="9" t="str">
        <f>"10290827219"</f>
        <v>10290827219</v>
      </c>
      <c r="B8151" s="10">
        <v>38.89</v>
      </c>
      <c r="C8151" s="9"/>
      <c r="D8151" s="9">
        <f t="shared" si="127"/>
        <v>38.89</v>
      </c>
      <c r="E8151" s="11"/>
      <c r="F8151" s="9"/>
    </row>
    <row r="8152" s="1" customFormat="1" customHeight="1" spans="1:6">
      <c r="A8152" s="9" t="str">
        <f>"10070827220"</f>
        <v>10070827220</v>
      </c>
      <c r="B8152" s="10">
        <v>44.26</v>
      </c>
      <c r="C8152" s="9"/>
      <c r="D8152" s="9">
        <f t="shared" si="127"/>
        <v>44.26</v>
      </c>
      <c r="E8152" s="11"/>
      <c r="F8152" s="9"/>
    </row>
    <row r="8153" s="1" customFormat="1" customHeight="1" spans="1:6">
      <c r="A8153" s="9" t="str">
        <f>"10490827221"</f>
        <v>10490827221</v>
      </c>
      <c r="B8153" s="10">
        <v>0</v>
      </c>
      <c r="C8153" s="9"/>
      <c r="D8153" s="9">
        <f t="shared" si="127"/>
        <v>0</v>
      </c>
      <c r="E8153" s="11"/>
      <c r="F8153" s="9" t="s">
        <v>7</v>
      </c>
    </row>
    <row r="8154" s="1" customFormat="1" customHeight="1" spans="1:6">
      <c r="A8154" s="9" t="str">
        <f>"10080827222"</f>
        <v>10080827222</v>
      </c>
      <c r="B8154" s="10">
        <v>59.34</v>
      </c>
      <c r="C8154" s="9"/>
      <c r="D8154" s="9">
        <f t="shared" si="127"/>
        <v>59.34</v>
      </c>
      <c r="E8154" s="11"/>
      <c r="F8154" s="9"/>
    </row>
    <row r="8155" s="1" customFormat="1" customHeight="1" spans="1:6">
      <c r="A8155" s="9" t="str">
        <f>"10140827223"</f>
        <v>10140827223</v>
      </c>
      <c r="B8155" s="10">
        <v>0</v>
      </c>
      <c r="C8155" s="9"/>
      <c r="D8155" s="9">
        <f t="shared" si="127"/>
        <v>0</v>
      </c>
      <c r="E8155" s="11"/>
      <c r="F8155" s="9" t="s">
        <v>7</v>
      </c>
    </row>
    <row r="8156" s="1" customFormat="1" customHeight="1" spans="1:6">
      <c r="A8156" s="9" t="str">
        <f>"10370827224"</f>
        <v>10370827224</v>
      </c>
      <c r="B8156" s="10">
        <v>49.05</v>
      </c>
      <c r="C8156" s="9"/>
      <c r="D8156" s="9">
        <f t="shared" si="127"/>
        <v>49.05</v>
      </c>
      <c r="E8156" s="11"/>
      <c r="F8156" s="9"/>
    </row>
    <row r="8157" s="1" customFormat="1" customHeight="1" spans="1:6">
      <c r="A8157" s="9" t="str">
        <f>"10530827225"</f>
        <v>10530827225</v>
      </c>
      <c r="B8157" s="10">
        <v>0</v>
      </c>
      <c r="C8157" s="9"/>
      <c r="D8157" s="9">
        <f t="shared" si="127"/>
        <v>0</v>
      </c>
      <c r="E8157" s="11"/>
      <c r="F8157" s="9" t="s">
        <v>7</v>
      </c>
    </row>
    <row r="8158" s="1" customFormat="1" customHeight="1" spans="1:6">
      <c r="A8158" s="9" t="str">
        <f>"10360827226"</f>
        <v>10360827226</v>
      </c>
      <c r="B8158" s="10">
        <v>32.69</v>
      </c>
      <c r="C8158" s="9"/>
      <c r="D8158" s="9">
        <f t="shared" si="127"/>
        <v>32.69</v>
      </c>
      <c r="E8158" s="11"/>
      <c r="F8158" s="9"/>
    </row>
    <row r="8159" s="1" customFormat="1" customHeight="1" spans="1:6">
      <c r="A8159" s="9" t="str">
        <f>"10220827227"</f>
        <v>10220827227</v>
      </c>
      <c r="B8159" s="10">
        <v>0</v>
      </c>
      <c r="C8159" s="9"/>
      <c r="D8159" s="9">
        <f t="shared" si="127"/>
        <v>0</v>
      </c>
      <c r="E8159" s="11"/>
      <c r="F8159" s="9" t="s">
        <v>7</v>
      </c>
    </row>
    <row r="8160" s="1" customFormat="1" customHeight="1" spans="1:6">
      <c r="A8160" s="9" t="str">
        <f>"10070827228"</f>
        <v>10070827228</v>
      </c>
      <c r="B8160" s="10">
        <v>0</v>
      </c>
      <c r="C8160" s="9"/>
      <c r="D8160" s="9">
        <f t="shared" si="127"/>
        <v>0</v>
      </c>
      <c r="E8160" s="11"/>
      <c r="F8160" s="9" t="s">
        <v>7</v>
      </c>
    </row>
    <row r="8161" s="1" customFormat="1" customHeight="1" spans="1:6">
      <c r="A8161" s="9" t="str">
        <f>"10210827229"</f>
        <v>10210827229</v>
      </c>
      <c r="B8161" s="10">
        <v>44.29</v>
      </c>
      <c r="C8161" s="9"/>
      <c r="D8161" s="9">
        <f t="shared" si="127"/>
        <v>44.29</v>
      </c>
      <c r="E8161" s="11"/>
      <c r="F8161" s="9"/>
    </row>
    <row r="8162" s="1" customFormat="1" customHeight="1" spans="1:6">
      <c r="A8162" s="9" t="str">
        <f>"10300827230"</f>
        <v>10300827230</v>
      </c>
      <c r="B8162" s="10">
        <v>43.69</v>
      </c>
      <c r="C8162" s="9"/>
      <c r="D8162" s="9">
        <f t="shared" si="127"/>
        <v>43.69</v>
      </c>
      <c r="E8162" s="11"/>
      <c r="F8162" s="9"/>
    </row>
    <row r="8163" s="1" customFormat="1" customHeight="1" spans="1:6">
      <c r="A8163" s="9" t="str">
        <f>"10420827301"</f>
        <v>10420827301</v>
      </c>
      <c r="B8163" s="10">
        <v>40.34</v>
      </c>
      <c r="C8163" s="9"/>
      <c r="D8163" s="9">
        <f t="shared" si="127"/>
        <v>40.34</v>
      </c>
      <c r="E8163" s="11"/>
      <c r="F8163" s="9"/>
    </row>
    <row r="8164" s="1" customFormat="1" customHeight="1" spans="1:6">
      <c r="A8164" s="9" t="str">
        <f>"10510827302"</f>
        <v>10510827302</v>
      </c>
      <c r="B8164" s="10">
        <v>38.55</v>
      </c>
      <c r="C8164" s="9"/>
      <c r="D8164" s="9">
        <f t="shared" si="127"/>
        <v>38.55</v>
      </c>
      <c r="E8164" s="11"/>
      <c r="F8164" s="9"/>
    </row>
    <row r="8165" s="1" customFormat="1" customHeight="1" spans="1:6">
      <c r="A8165" s="9" t="str">
        <f>"10020827303"</f>
        <v>10020827303</v>
      </c>
      <c r="B8165" s="10">
        <v>47.82</v>
      </c>
      <c r="C8165" s="9"/>
      <c r="D8165" s="9">
        <f t="shared" si="127"/>
        <v>47.82</v>
      </c>
      <c r="E8165" s="11"/>
      <c r="F8165" s="9"/>
    </row>
    <row r="8166" s="1" customFormat="1" customHeight="1" spans="1:6">
      <c r="A8166" s="9" t="str">
        <f>"10500827304"</f>
        <v>10500827304</v>
      </c>
      <c r="B8166" s="10">
        <v>0</v>
      </c>
      <c r="C8166" s="9"/>
      <c r="D8166" s="9">
        <f t="shared" si="127"/>
        <v>0</v>
      </c>
      <c r="E8166" s="11"/>
      <c r="F8166" s="9" t="s">
        <v>7</v>
      </c>
    </row>
    <row r="8167" s="1" customFormat="1" customHeight="1" spans="1:6">
      <c r="A8167" s="9" t="str">
        <f>"10300827305"</f>
        <v>10300827305</v>
      </c>
      <c r="B8167" s="10">
        <v>0</v>
      </c>
      <c r="C8167" s="9"/>
      <c r="D8167" s="9">
        <f t="shared" si="127"/>
        <v>0</v>
      </c>
      <c r="E8167" s="11"/>
      <c r="F8167" s="9" t="s">
        <v>7</v>
      </c>
    </row>
    <row r="8168" s="1" customFormat="1" customHeight="1" spans="1:6">
      <c r="A8168" s="9" t="str">
        <f>"10170827306"</f>
        <v>10170827306</v>
      </c>
      <c r="B8168" s="10">
        <v>0</v>
      </c>
      <c r="C8168" s="9"/>
      <c r="D8168" s="9">
        <f t="shared" si="127"/>
        <v>0</v>
      </c>
      <c r="E8168" s="11"/>
      <c r="F8168" s="9" t="s">
        <v>7</v>
      </c>
    </row>
    <row r="8169" s="1" customFormat="1" customHeight="1" spans="1:6">
      <c r="A8169" s="9" t="str">
        <f>"10280827307"</f>
        <v>10280827307</v>
      </c>
      <c r="B8169" s="10">
        <v>43.79</v>
      </c>
      <c r="C8169" s="9"/>
      <c r="D8169" s="9">
        <f t="shared" si="127"/>
        <v>43.79</v>
      </c>
      <c r="E8169" s="11"/>
      <c r="F8169" s="9"/>
    </row>
    <row r="8170" s="1" customFormat="1" customHeight="1" spans="1:6">
      <c r="A8170" s="9" t="str">
        <f>"10130827308"</f>
        <v>10130827308</v>
      </c>
      <c r="B8170" s="10">
        <v>0</v>
      </c>
      <c r="C8170" s="9"/>
      <c r="D8170" s="9">
        <f t="shared" si="127"/>
        <v>0</v>
      </c>
      <c r="E8170" s="11"/>
      <c r="F8170" s="9" t="s">
        <v>7</v>
      </c>
    </row>
    <row r="8171" s="1" customFormat="1" customHeight="1" spans="1:6">
      <c r="A8171" s="9" t="str">
        <f>"10360827309"</f>
        <v>10360827309</v>
      </c>
      <c r="B8171" s="10">
        <v>24.23</v>
      </c>
      <c r="C8171" s="9"/>
      <c r="D8171" s="9">
        <f t="shared" si="127"/>
        <v>24.23</v>
      </c>
      <c r="E8171" s="11"/>
      <c r="F8171" s="9"/>
    </row>
    <row r="8172" s="1" customFormat="1" customHeight="1" spans="1:6">
      <c r="A8172" s="9" t="str">
        <f>"10530827310"</f>
        <v>10530827310</v>
      </c>
      <c r="B8172" s="10">
        <v>34.13</v>
      </c>
      <c r="C8172" s="9"/>
      <c r="D8172" s="9">
        <f t="shared" si="127"/>
        <v>34.13</v>
      </c>
      <c r="E8172" s="11"/>
      <c r="F8172" s="9"/>
    </row>
    <row r="8173" s="1" customFormat="1" customHeight="1" spans="1:6">
      <c r="A8173" s="9" t="str">
        <f>"10280827311"</f>
        <v>10280827311</v>
      </c>
      <c r="B8173" s="10">
        <v>33.25</v>
      </c>
      <c r="C8173" s="9"/>
      <c r="D8173" s="9">
        <f t="shared" si="127"/>
        <v>33.25</v>
      </c>
      <c r="E8173" s="11"/>
      <c r="F8173" s="9"/>
    </row>
    <row r="8174" s="1" customFormat="1" customHeight="1" spans="1:6">
      <c r="A8174" s="9" t="str">
        <f>"10360827312"</f>
        <v>10360827312</v>
      </c>
      <c r="B8174" s="10">
        <v>40.4</v>
      </c>
      <c r="C8174" s="9"/>
      <c r="D8174" s="9">
        <f t="shared" si="127"/>
        <v>40.4</v>
      </c>
      <c r="E8174" s="11"/>
      <c r="F8174" s="9"/>
    </row>
    <row r="8175" s="1" customFormat="1" customHeight="1" spans="1:6">
      <c r="A8175" s="9" t="str">
        <f>"10520827313"</f>
        <v>10520827313</v>
      </c>
      <c r="B8175" s="10">
        <v>38.35</v>
      </c>
      <c r="C8175" s="9"/>
      <c r="D8175" s="9">
        <f t="shared" si="127"/>
        <v>38.35</v>
      </c>
      <c r="E8175" s="11"/>
      <c r="F8175" s="9"/>
    </row>
    <row r="8176" s="1" customFormat="1" customHeight="1" spans="1:6">
      <c r="A8176" s="9" t="str">
        <f>"10110827314"</f>
        <v>10110827314</v>
      </c>
      <c r="B8176" s="10">
        <v>42.63</v>
      </c>
      <c r="C8176" s="9"/>
      <c r="D8176" s="9">
        <f t="shared" si="127"/>
        <v>42.63</v>
      </c>
      <c r="E8176" s="11"/>
      <c r="F8176" s="9"/>
    </row>
    <row r="8177" s="1" customFormat="1" customHeight="1" spans="1:6">
      <c r="A8177" s="9" t="str">
        <f>"10300827315"</f>
        <v>10300827315</v>
      </c>
      <c r="B8177" s="10">
        <v>31.32</v>
      </c>
      <c r="C8177" s="9"/>
      <c r="D8177" s="9">
        <f t="shared" si="127"/>
        <v>31.32</v>
      </c>
      <c r="E8177" s="11"/>
      <c r="F8177" s="9"/>
    </row>
    <row r="8178" s="1" customFormat="1" customHeight="1" spans="1:6">
      <c r="A8178" s="9" t="str">
        <f>"10330827316"</f>
        <v>10330827316</v>
      </c>
      <c r="B8178" s="10">
        <v>0</v>
      </c>
      <c r="C8178" s="9"/>
      <c r="D8178" s="9">
        <f t="shared" si="127"/>
        <v>0</v>
      </c>
      <c r="E8178" s="11"/>
      <c r="F8178" s="9" t="s">
        <v>7</v>
      </c>
    </row>
    <row r="8179" s="1" customFormat="1" customHeight="1" spans="1:6">
      <c r="A8179" s="9" t="str">
        <f>"10360827317"</f>
        <v>10360827317</v>
      </c>
      <c r="B8179" s="10">
        <v>41.68</v>
      </c>
      <c r="C8179" s="9"/>
      <c r="D8179" s="9">
        <f t="shared" si="127"/>
        <v>41.68</v>
      </c>
      <c r="E8179" s="11"/>
      <c r="F8179" s="9"/>
    </row>
    <row r="8180" s="1" customFormat="1" customHeight="1" spans="1:6">
      <c r="A8180" s="9" t="str">
        <f>"10020827318"</f>
        <v>10020827318</v>
      </c>
      <c r="B8180" s="10">
        <v>42.83</v>
      </c>
      <c r="C8180" s="9"/>
      <c r="D8180" s="9">
        <f t="shared" si="127"/>
        <v>42.83</v>
      </c>
      <c r="E8180" s="11"/>
      <c r="F8180" s="9"/>
    </row>
    <row r="8181" s="1" customFormat="1" customHeight="1" spans="1:6">
      <c r="A8181" s="9" t="str">
        <f>"10510827319"</f>
        <v>10510827319</v>
      </c>
      <c r="B8181" s="10">
        <v>37.34</v>
      </c>
      <c r="C8181" s="9"/>
      <c r="D8181" s="9">
        <f t="shared" si="127"/>
        <v>37.34</v>
      </c>
      <c r="E8181" s="11"/>
      <c r="F8181" s="9"/>
    </row>
    <row r="8182" s="1" customFormat="1" customHeight="1" spans="1:6">
      <c r="A8182" s="9" t="str">
        <f>"10200827320"</f>
        <v>10200827320</v>
      </c>
      <c r="B8182" s="10">
        <v>44.29</v>
      </c>
      <c r="C8182" s="9"/>
      <c r="D8182" s="9">
        <f t="shared" si="127"/>
        <v>44.29</v>
      </c>
      <c r="E8182" s="11"/>
      <c r="F8182" s="9"/>
    </row>
    <row r="8183" s="1" customFormat="1" customHeight="1" spans="1:6">
      <c r="A8183" s="9" t="str">
        <f>"10530827321"</f>
        <v>10530827321</v>
      </c>
      <c r="B8183" s="10">
        <v>37.71</v>
      </c>
      <c r="C8183" s="9"/>
      <c r="D8183" s="9">
        <f t="shared" si="127"/>
        <v>37.71</v>
      </c>
      <c r="E8183" s="11"/>
      <c r="F8183" s="9"/>
    </row>
    <row r="8184" s="1" customFormat="1" customHeight="1" spans="1:6">
      <c r="A8184" s="9" t="str">
        <f>"10060827322"</f>
        <v>10060827322</v>
      </c>
      <c r="B8184" s="10">
        <v>41.78</v>
      </c>
      <c r="C8184" s="9"/>
      <c r="D8184" s="9">
        <f t="shared" si="127"/>
        <v>41.78</v>
      </c>
      <c r="E8184" s="11"/>
      <c r="F8184" s="9"/>
    </row>
    <row r="8185" s="1" customFormat="1" customHeight="1" spans="1:6">
      <c r="A8185" s="9" t="str">
        <f>"10530827323"</f>
        <v>10530827323</v>
      </c>
      <c r="B8185" s="10">
        <v>0</v>
      </c>
      <c r="C8185" s="9"/>
      <c r="D8185" s="9">
        <f t="shared" si="127"/>
        <v>0</v>
      </c>
      <c r="E8185" s="11"/>
      <c r="F8185" s="9" t="s">
        <v>7</v>
      </c>
    </row>
    <row r="8186" s="1" customFormat="1" customHeight="1" spans="1:6">
      <c r="A8186" s="9" t="str">
        <f>"10330827324"</f>
        <v>10330827324</v>
      </c>
      <c r="B8186" s="10">
        <v>0</v>
      </c>
      <c r="C8186" s="9"/>
      <c r="D8186" s="9">
        <f t="shared" si="127"/>
        <v>0</v>
      </c>
      <c r="E8186" s="11"/>
      <c r="F8186" s="9" t="s">
        <v>7</v>
      </c>
    </row>
    <row r="8187" s="1" customFormat="1" customHeight="1" spans="1:6">
      <c r="A8187" s="9" t="str">
        <f>"10300827325"</f>
        <v>10300827325</v>
      </c>
      <c r="B8187" s="10">
        <v>37.92</v>
      </c>
      <c r="C8187" s="9"/>
      <c r="D8187" s="9">
        <f t="shared" si="127"/>
        <v>37.92</v>
      </c>
      <c r="E8187" s="11"/>
      <c r="F8187" s="9"/>
    </row>
    <row r="8188" s="1" customFormat="1" customHeight="1" spans="1:6">
      <c r="A8188" s="9" t="str">
        <f>"10420827326"</f>
        <v>10420827326</v>
      </c>
      <c r="B8188" s="10">
        <v>44.07</v>
      </c>
      <c r="C8188" s="9"/>
      <c r="D8188" s="9">
        <f t="shared" si="127"/>
        <v>44.07</v>
      </c>
      <c r="E8188" s="11"/>
      <c r="F8188" s="9"/>
    </row>
    <row r="8189" s="1" customFormat="1" customHeight="1" spans="1:6">
      <c r="A8189" s="9" t="str">
        <f>"10230827327"</f>
        <v>10230827327</v>
      </c>
      <c r="B8189" s="10">
        <v>37.67</v>
      </c>
      <c r="C8189" s="9"/>
      <c r="D8189" s="9">
        <f t="shared" si="127"/>
        <v>37.67</v>
      </c>
      <c r="E8189" s="11"/>
      <c r="F8189" s="9"/>
    </row>
    <row r="8190" s="1" customFormat="1" customHeight="1" spans="1:6">
      <c r="A8190" s="9" t="str">
        <f>"10360827328"</f>
        <v>10360827328</v>
      </c>
      <c r="B8190" s="10">
        <v>35.68</v>
      </c>
      <c r="C8190" s="9"/>
      <c r="D8190" s="9">
        <f t="shared" si="127"/>
        <v>35.68</v>
      </c>
      <c r="E8190" s="11"/>
      <c r="F8190" s="9"/>
    </row>
    <row r="8191" s="1" customFormat="1" customHeight="1" spans="1:6">
      <c r="A8191" s="9" t="str">
        <f>"10330827329"</f>
        <v>10330827329</v>
      </c>
      <c r="B8191" s="10">
        <v>0</v>
      </c>
      <c r="C8191" s="9"/>
      <c r="D8191" s="9">
        <f t="shared" si="127"/>
        <v>0</v>
      </c>
      <c r="E8191" s="11"/>
      <c r="F8191" s="9" t="s">
        <v>7</v>
      </c>
    </row>
    <row r="8192" s="1" customFormat="1" customHeight="1" spans="1:6">
      <c r="A8192" s="9" t="str">
        <f>"10150827330"</f>
        <v>10150827330</v>
      </c>
      <c r="B8192" s="10">
        <v>44.05</v>
      </c>
      <c r="C8192" s="9">
        <v>10</v>
      </c>
      <c r="D8192" s="9">
        <f t="shared" si="127"/>
        <v>54.05</v>
      </c>
      <c r="E8192" s="12" t="s">
        <v>8</v>
      </c>
      <c r="F8192" s="9"/>
    </row>
    <row r="8193" s="1" customFormat="1" customHeight="1" spans="1:6">
      <c r="A8193" s="9" t="str">
        <f>"10180827401"</f>
        <v>10180827401</v>
      </c>
      <c r="B8193" s="10">
        <v>0</v>
      </c>
      <c r="C8193" s="9"/>
      <c r="D8193" s="9">
        <f t="shared" si="127"/>
        <v>0</v>
      </c>
      <c r="E8193" s="11"/>
      <c r="F8193" s="9" t="s">
        <v>7</v>
      </c>
    </row>
    <row r="8194" s="1" customFormat="1" customHeight="1" spans="1:6">
      <c r="A8194" s="9" t="str">
        <f>"10180827402"</f>
        <v>10180827402</v>
      </c>
      <c r="B8194" s="10">
        <v>34.04</v>
      </c>
      <c r="C8194" s="9"/>
      <c r="D8194" s="9">
        <f t="shared" si="127"/>
        <v>34.04</v>
      </c>
      <c r="E8194" s="11"/>
      <c r="F8194" s="9"/>
    </row>
    <row r="8195" s="1" customFormat="1" customHeight="1" spans="1:6">
      <c r="A8195" s="9" t="str">
        <f>"10360827403"</f>
        <v>10360827403</v>
      </c>
      <c r="B8195" s="10">
        <v>39.3</v>
      </c>
      <c r="C8195" s="9"/>
      <c r="D8195" s="9">
        <f t="shared" ref="D8195:D8258" si="128">SUM(B8195:C8195)</f>
        <v>39.3</v>
      </c>
      <c r="E8195" s="11"/>
      <c r="F8195" s="9"/>
    </row>
    <row r="8196" s="1" customFormat="1" customHeight="1" spans="1:6">
      <c r="A8196" s="9" t="str">
        <f>"10010827404"</f>
        <v>10010827404</v>
      </c>
      <c r="B8196" s="10">
        <v>0</v>
      </c>
      <c r="C8196" s="9"/>
      <c r="D8196" s="9">
        <f t="shared" si="128"/>
        <v>0</v>
      </c>
      <c r="E8196" s="11"/>
      <c r="F8196" s="9" t="s">
        <v>7</v>
      </c>
    </row>
    <row r="8197" s="1" customFormat="1" customHeight="1" spans="1:6">
      <c r="A8197" s="9" t="str">
        <f>"10110827405"</f>
        <v>10110827405</v>
      </c>
      <c r="B8197" s="10">
        <v>33.72</v>
      </c>
      <c r="C8197" s="9"/>
      <c r="D8197" s="9">
        <f t="shared" si="128"/>
        <v>33.72</v>
      </c>
      <c r="E8197" s="11"/>
      <c r="F8197" s="9"/>
    </row>
    <row r="8198" s="1" customFormat="1" customHeight="1" spans="1:6">
      <c r="A8198" s="9" t="str">
        <f>"10430827406"</f>
        <v>10430827406</v>
      </c>
      <c r="B8198" s="10">
        <v>37.92</v>
      </c>
      <c r="C8198" s="9"/>
      <c r="D8198" s="9">
        <f t="shared" si="128"/>
        <v>37.92</v>
      </c>
      <c r="E8198" s="11"/>
      <c r="F8198" s="9"/>
    </row>
    <row r="8199" s="1" customFormat="1" customHeight="1" spans="1:6">
      <c r="A8199" s="9" t="str">
        <f>"10170827407"</f>
        <v>10170827407</v>
      </c>
      <c r="B8199" s="10">
        <v>46.66</v>
      </c>
      <c r="C8199" s="9"/>
      <c r="D8199" s="9">
        <f t="shared" si="128"/>
        <v>46.66</v>
      </c>
      <c r="E8199" s="11"/>
      <c r="F8199" s="9"/>
    </row>
    <row r="8200" s="1" customFormat="1" customHeight="1" spans="1:6">
      <c r="A8200" s="9" t="str">
        <f>"10200827408"</f>
        <v>10200827408</v>
      </c>
      <c r="B8200" s="10">
        <v>38.32</v>
      </c>
      <c r="C8200" s="9"/>
      <c r="D8200" s="9">
        <f t="shared" si="128"/>
        <v>38.32</v>
      </c>
      <c r="E8200" s="11"/>
      <c r="F8200" s="9"/>
    </row>
    <row r="8201" s="1" customFormat="1" customHeight="1" spans="1:6">
      <c r="A8201" s="9" t="str">
        <f>"10500827409"</f>
        <v>10500827409</v>
      </c>
      <c r="B8201" s="10">
        <v>37.61</v>
      </c>
      <c r="C8201" s="9"/>
      <c r="D8201" s="9">
        <f t="shared" si="128"/>
        <v>37.61</v>
      </c>
      <c r="E8201" s="11"/>
      <c r="F8201" s="9"/>
    </row>
    <row r="8202" s="1" customFormat="1" customHeight="1" spans="1:6">
      <c r="A8202" s="9" t="str">
        <f>"10340827410"</f>
        <v>10340827410</v>
      </c>
      <c r="B8202" s="10">
        <v>35.44</v>
      </c>
      <c r="C8202" s="9"/>
      <c r="D8202" s="9">
        <f t="shared" si="128"/>
        <v>35.44</v>
      </c>
      <c r="E8202" s="11"/>
      <c r="F8202" s="9"/>
    </row>
    <row r="8203" s="1" customFormat="1" customHeight="1" spans="1:6">
      <c r="A8203" s="9" t="str">
        <f>"10060827411"</f>
        <v>10060827411</v>
      </c>
      <c r="B8203" s="10">
        <v>29.47</v>
      </c>
      <c r="C8203" s="9"/>
      <c r="D8203" s="9">
        <f t="shared" si="128"/>
        <v>29.47</v>
      </c>
      <c r="E8203" s="11"/>
      <c r="F8203" s="9"/>
    </row>
    <row r="8204" s="1" customFormat="1" customHeight="1" spans="1:6">
      <c r="A8204" s="9" t="str">
        <f>"10290827412"</f>
        <v>10290827412</v>
      </c>
      <c r="B8204" s="10">
        <v>46.15</v>
      </c>
      <c r="C8204" s="9"/>
      <c r="D8204" s="9">
        <f t="shared" si="128"/>
        <v>46.15</v>
      </c>
      <c r="E8204" s="11"/>
      <c r="F8204" s="9"/>
    </row>
    <row r="8205" s="1" customFormat="1" customHeight="1" spans="1:6">
      <c r="A8205" s="9" t="str">
        <f>"10060827413"</f>
        <v>10060827413</v>
      </c>
      <c r="B8205" s="10">
        <v>41.11</v>
      </c>
      <c r="C8205" s="9"/>
      <c r="D8205" s="9">
        <f t="shared" si="128"/>
        <v>41.11</v>
      </c>
      <c r="E8205" s="11"/>
      <c r="F8205" s="9"/>
    </row>
    <row r="8206" s="1" customFormat="1" customHeight="1" spans="1:6">
      <c r="A8206" s="9" t="str">
        <f>"10350827414"</f>
        <v>10350827414</v>
      </c>
      <c r="B8206" s="10">
        <v>0</v>
      </c>
      <c r="C8206" s="9"/>
      <c r="D8206" s="9">
        <f t="shared" si="128"/>
        <v>0</v>
      </c>
      <c r="E8206" s="11"/>
      <c r="F8206" s="9" t="s">
        <v>7</v>
      </c>
    </row>
    <row r="8207" s="1" customFormat="1" customHeight="1" spans="1:6">
      <c r="A8207" s="9" t="str">
        <f>"10380827415"</f>
        <v>10380827415</v>
      </c>
      <c r="B8207" s="10">
        <v>41.51</v>
      </c>
      <c r="C8207" s="9"/>
      <c r="D8207" s="9">
        <f t="shared" si="128"/>
        <v>41.51</v>
      </c>
      <c r="E8207" s="11"/>
      <c r="F8207" s="9"/>
    </row>
    <row r="8208" s="1" customFormat="1" customHeight="1" spans="1:6">
      <c r="A8208" s="9" t="str">
        <f>"10530827416"</f>
        <v>10530827416</v>
      </c>
      <c r="B8208" s="10">
        <v>0</v>
      </c>
      <c r="C8208" s="9"/>
      <c r="D8208" s="9">
        <f t="shared" si="128"/>
        <v>0</v>
      </c>
      <c r="E8208" s="11"/>
      <c r="F8208" s="9" t="s">
        <v>7</v>
      </c>
    </row>
    <row r="8209" s="1" customFormat="1" customHeight="1" spans="1:6">
      <c r="A8209" s="9" t="str">
        <f>"10060827417"</f>
        <v>10060827417</v>
      </c>
      <c r="B8209" s="10">
        <v>36.8</v>
      </c>
      <c r="C8209" s="9"/>
      <c r="D8209" s="9">
        <f t="shared" si="128"/>
        <v>36.8</v>
      </c>
      <c r="E8209" s="11"/>
      <c r="F8209" s="9"/>
    </row>
    <row r="8210" s="1" customFormat="1" customHeight="1" spans="1:6">
      <c r="A8210" s="9" t="str">
        <f>"10170827418"</f>
        <v>10170827418</v>
      </c>
      <c r="B8210" s="10">
        <v>0</v>
      </c>
      <c r="C8210" s="9"/>
      <c r="D8210" s="9">
        <f t="shared" si="128"/>
        <v>0</v>
      </c>
      <c r="E8210" s="11"/>
      <c r="F8210" s="9" t="s">
        <v>7</v>
      </c>
    </row>
    <row r="8211" s="1" customFormat="1" customHeight="1" spans="1:6">
      <c r="A8211" s="9" t="str">
        <f>"10230827419"</f>
        <v>10230827419</v>
      </c>
      <c r="B8211" s="10">
        <v>33.47</v>
      </c>
      <c r="C8211" s="9"/>
      <c r="D8211" s="9">
        <f t="shared" si="128"/>
        <v>33.47</v>
      </c>
      <c r="E8211" s="11"/>
      <c r="F8211" s="9"/>
    </row>
    <row r="8212" s="1" customFormat="1" customHeight="1" spans="1:6">
      <c r="A8212" s="9" t="str">
        <f>"10360827420"</f>
        <v>10360827420</v>
      </c>
      <c r="B8212" s="10">
        <v>32.92</v>
      </c>
      <c r="C8212" s="9"/>
      <c r="D8212" s="9">
        <f t="shared" si="128"/>
        <v>32.92</v>
      </c>
      <c r="E8212" s="11"/>
      <c r="F8212" s="9"/>
    </row>
    <row r="8213" s="1" customFormat="1" customHeight="1" spans="1:6">
      <c r="A8213" s="9" t="str">
        <f>"20270827421"</f>
        <v>20270827421</v>
      </c>
      <c r="B8213" s="10">
        <v>52.65</v>
      </c>
      <c r="C8213" s="9"/>
      <c r="D8213" s="9">
        <f t="shared" si="128"/>
        <v>52.65</v>
      </c>
      <c r="E8213" s="11"/>
      <c r="F8213" s="9"/>
    </row>
    <row r="8214" s="1" customFormat="1" customHeight="1" spans="1:6">
      <c r="A8214" s="9" t="str">
        <f>"10360827422"</f>
        <v>10360827422</v>
      </c>
      <c r="B8214" s="10">
        <v>50.13</v>
      </c>
      <c r="C8214" s="9"/>
      <c r="D8214" s="9">
        <f t="shared" si="128"/>
        <v>50.13</v>
      </c>
      <c r="E8214" s="11"/>
      <c r="F8214" s="9"/>
    </row>
    <row r="8215" s="1" customFormat="1" customHeight="1" spans="1:6">
      <c r="A8215" s="9" t="str">
        <f>"10070827423"</f>
        <v>10070827423</v>
      </c>
      <c r="B8215" s="10">
        <v>0</v>
      </c>
      <c r="C8215" s="9"/>
      <c r="D8215" s="9">
        <f t="shared" si="128"/>
        <v>0</v>
      </c>
      <c r="E8215" s="11"/>
      <c r="F8215" s="9" t="s">
        <v>7</v>
      </c>
    </row>
    <row r="8216" s="1" customFormat="1" customHeight="1" spans="1:6">
      <c r="A8216" s="9" t="str">
        <f>"10400827424"</f>
        <v>10400827424</v>
      </c>
      <c r="B8216" s="10">
        <v>0</v>
      </c>
      <c r="C8216" s="9"/>
      <c r="D8216" s="9">
        <f t="shared" si="128"/>
        <v>0</v>
      </c>
      <c r="E8216" s="11"/>
      <c r="F8216" s="9" t="s">
        <v>7</v>
      </c>
    </row>
    <row r="8217" s="1" customFormat="1" customHeight="1" spans="1:6">
      <c r="A8217" s="9" t="str">
        <f>"10330827425"</f>
        <v>10330827425</v>
      </c>
      <c r="B8217" s="10">
        <v>38.32</v>
      </c>
      <c r="C8217" s="9"/>
      <c r="D8217" s="9">
        <f t="shared" si="128"/>
        <v>38.32</v>
      </c>
      <c r="E8217" s="11"/>
      <c r="F8217" s="9"/>
    </row>
    <row r="8218" s="1" customFormat="1" customHeight="1" spans="1:6">
      <c r="A8218" s="9" t="str">
        <f>"10360827426"</f>
        <v>10360827426</v>
      </c>
      <c r="B8218" s="10">
        <v>34.65</v>
      </c>
      <c r="C8218" s="9"/>
      <c r="D8218" s="9">
        <f t="shared" si="128"/>
        <v>34.65</v>
      </c>
      <c r="E8218" s="11"/>
      <c r="F8218" s="9"/>
    </row>
    <row r="8219" s="1" customFormat="1" customHeight="1" spans="1:6">
      <c r="A8219" s="9" t="str">
        <f>"10530827427"</f>
        <v>10530827427</v>
      </c>
      <c r="B8219" s="10">
        <v>39.55</v>
      </c>
      <c r="C8219" s="9"/>
      <c r="D8219" s="9">
        <f t="shared" si="128"/>
        <v>39.55</v>
      </c>
      <c r="E8219" s="11"/>
      <c r="F8219" s="9"/>
    </row>
    <row r="8220" s="1" customFormat="1" customHeight="1" spans="1:6">
      <c r="A8220" s="9" t="str">
        <f>"10360827428"</f>
        <v>10360827428</v>
      </c>
      <c r="B8220" s="10">
        <v>39.52</v>
      </c>
      <c r="C8220" s="9"/>
      <c r="D8220" s="9">
        <f t="shared" si="128"/>
        <v>39.52</v>
      </c>
      <c r="E8220" s="11"/>
      <c r="F8220" s="9"/>
    </row>
    <row r="8221" s="1" customFormat="1" customHeight="1" spans="1:6">
      <c r="A8221" s="9" t="str">
        <f>"10010827429"</f>
        <v>10010827429</v>
      </c>
      <c r="B8221" s="10">
        <v>0</v>
      </c>
      <c r="C8221" s="9"/>
      <c r="D8221" s="9">
        <f t="shared" si="128"/>
        <v>0</v>
      </c>
      <c r="E8221" s="11"/>
      <c r="F8221" s="9" t="s">
        <v>7</v>
      </c>
    </row>
    <row r="8222" s="1" customFormat="1" customHeight="1" spans="1:6">
      <c r="A8222" s="9" t="str">
        <f>"10330827430"</f>
        <v>10330827430</v>
      </c>
      <c r="B8222" s="10">
        <v>35.56</v>
      </c>
      <c r="C8222" s="9"/>
      <c r="D8222" s="9">
        <f t="shared" si="128"/>
        <v>35.56</v>
      </c>
      <c r="E8222" s="11"/>
      <c r="F8222" s="9"/>
    </row>
    <row r="8223" s="1" customFormat="1" customHeight="1" spans="1:6">
      <c r="A8223" s="9" t="str">
        <f>"10450827501"</f>
        <v>10450827501</v>
      </c>
      <c r="B8223" s="10">
        <v>30.68</v>
      </c>
      <c r="C8223" s="9"/>
      <c r="D8223" s="9">
        <f t="shared" si="128"/>
        <v>30.68</v>
      </c>
      <c r="E8223" s="11"/>
      <c r="F8223" s="9"/>
    </row>
    <row r="8224" s="1" customFormat="1" customHeight="1" spans="1:6">
      <c r="A8224" s="9" t="str">
        <f>"10360827502"</f>
        <v>10360827502</v>
      </c>
      <c r="B8224" s="10">
        <v>29.36</v>
      </c>
      <c r="C8224" s="9"/>
      <c r="D8224" s="9">
        <f t="shared" si="128"/>
        <v>29.36</v>
      </c>
      <c r="E8224" s="11"/>
      <c r="F8224" s="9"/>
    </row>
    <row r="8225" s="1" customFormat="1" customHeight="1" spans="1:6">
      <c r="A8225" s="9" t="str">
        <f>"10040827503"</f>
        <v>10040827503</v>
      </c>
      <c r="B8225" s="10">
        <v>0</v>
      </c>
      <c r="C8225" s="9"/>
      <c r="D8225" s="9">
        <f t="shared" si="128"/>
        <v>0</v>
      </c>
      <c r="E8225" s="11"/>
      <c r="F8225" s="9" t="s">
        <v>7</v>
      </c>
    </row>
    <row r="8226" s="1" customFormat="1" customHeight="1" spans="1:6">
      <c r="A8226" s="9" t="str">
        <f>"10240827504"</f>
        <v>10240827504</v>
      </c>
      <c r="B8226" s="10">
        <v>37.65</v>
      </c>
      <c r="C8226" s="9"/>
      <c r="D8226" s="9">
        <f t="shared" si="128"/>
        <v>37.65</v>
      </c>
      <c r="E8226" s="11"/>
      <c r="F8226" s="9"/>
    </row>
    <row r="8227" s="1" customFormat="1" customHeight="1" spans="1:6">
      <c r="A8227" s="9" t="str">
        <f>"10530827505"</f>
        <v>10530827505</v>
      </c>
      <c r="B8227" s="10">
        <v>32.55</v>
      </c>
      <c r="C8227" s="9"/>
      <c r="D8227" s="9">
        <f t="shared" si="128"/>
        <v>32.55</v>
      </c>
      <c r="E8227" s="11"/>
      <c r="F8227" s="9"/>
    </row>
    <row r="8228" s="1" customFormat="1" customHeight="1" spans="1:6">
      <c r="A8228" s="9" t="str">
        <f>"20270827506"</f>
        <v>20270827506</v>
      </c>
      <c r="B8228" s="10">
        <v>46.08</v>
      </c>
      <c r="C8228" s="9"/>
      <c r="D8228" s="9">
        <f t="shared" si="128"/>
        <v>46.08</v>
      </c>
      <c r="E8228" s="11"/>
      <c r="F8228" s="9"/>
    </row>
    <row r="8229" s="1" customFormat="1" customHeight="1" spans="1:6">
      <c r="A8229" s="9" t="str">
        <f>"10360827507"</f>
        <v>10360827507</v>
      </c>
      <c r="B8229" s="10">
        <v>40.34</v>
      </c>
      <c r="C8229" s="9"/>
      <c r="D8229" s="9">
        <f t="shared" si="128"/>
        <v>40.34</v>
      </c>
      <c r="E8229" s="11"/>
      <c r="F8229" s="9"/>
    </row>
    <row r="8230" s="1" customFormat="1" customHeight="1" spans="1:6">
      <c r="A8230" s="9" t="str">
        <f>"10130827508"</f>
        <v>10130827508</v>
      </c>
      <c r="B8230" s="10">
        <v>43.61</v>
      </c>
      <c r="C8230" s="9"/>
      <c r="D8230" s="9">
        <f t="shared" si="128"/>
        <v>43.61</v>
      </c>
      <c r="E8230" s="11"/>
      <c r="F8230" s="9"/>
    </row>
    <row r="8231" s="1" customFormat="1" customHeight="1" spans="1:6">
      <c r="A8231" s="9" t="str">
        <f>"10360827509"</f>
        <v>10360827509</v>
      </c>
      <c r="B8231" s="10">
        <v>45.21</v>
      </c>
      <c r="C8231" s="9"/>
      <c r="D8231" s="9">
        <f t="shared" si="128"/>
        <v>45.21</v>
      </c>
      <c r="E8231" s="11"/>
      <c r="F8231" s="9"/>
    </row>
    <row r="8232" s="1" customFormat="1" customHeight="1" spans="1:6">
      <c r="A8232" s="9" t="str">
        <f>"10360827510"</f>
        <v>10360827510</v>
      </c>
      <c r="B8232" s="10">
        <v>0</v>
      </c>
      <c r="C8232" s="9"/>
      <c r="D8232" s="9">
        <f t="shared" si="128"/>
        <v>0</v>
      </c>
      <c r="E8232" s="11"/>
      <c r="F8232" s="9" t="s">
        <v>7</v>
      </c>
    </row>
    <row r="8233" s="1" customFormat="1" customHeight="1" spans="1:6">
      <c r="A8233" s="9" t="str">
        <f>"10500827511"</f>
        <v>10500827511</v>
      </c>
      <c r="B8233" s="10">
        <v>0</v>
      </c>
      <c r="C8233" s="9"/>
      <c r="D8233" s="9">
        <f t="shared" si="128"/>
        <v>0</v>
      </c>
      <c r="E8233" s="11"/>
      <c r="F8233" s="9" t="s">
        <v>7</v>
      </c>
    </row>
    <row r="8234" s="1" customFormat="1" customHeight="1" spans="1:6">
      <c r="A8234" s="9" t="str">
        <f>"10510827512"</f>
        <v>10510827512</v>
      </c>
      <c r="B8234" s="10">
        <v>35.18</v>
      </c>
      <c r="C8234" s="9"/>
      <c r="D8234" s="9">
        <f t="shared" si="128"/>
        <v>35.18</v>
      </c>
      <c r="E8234" s="11"/>
      <c r="F8234" s="9"/>
    </row>
    <row r="8235" s="1" customFormat="1" customHeight="1" spans="1:6">
      <c r="A8235" s="9" t="str">
        <f>"10130827513"</f>
        <v>10130827513</v>
      </c>
      <c r="B8235" s="10">
        <v>0</v>
      </c>
      <c r="C8235" s="9"/>
      <c r="D8235" s="9">
        <f t="shared" si="128"/>
        <v>0</v>
      </c>
      <c r="E8235" s="11"/>
      <c r="F8235" s="9" t="s">
        <v>7</v>
      </c>
    </row>
    <row r="8236" s="1" customFormat="1" customHeight="1" spans="1:6">
      <c r="A8236" s="9" t="str">
        <f>"10440827514"</f>
        <v>10440827514</v>
      </c>
      <c r="B8236" s="10">
        <v>0</v>
      </c>
      <c r="C8236" s="9"/>
      <c r="D8236" s="9">
        <f t="shared" si="128"/>
        <v>0</v>
      </c>
      <c r="E8236" s="11"/>
      <c r="F8236" s="9" t="s">
        <v>7</v>
      </c>
    </row>
    <row r="8237" s="1" customFormat="1" customHeight="1" spans="1:6">
      <c r="A8237" s="9" t="str">
        <f>"10530827515"</f>
        <v>10530827515</v>
      </c>
      <c r="B8237" s="10">
        <v>36.73</v>
      </c>
      <c r="C8237" s="9">
        <v>10</v>
      </c>
      <c r="D8237" s="9">
        <f t="shared" si="128"/>
        <v>46.73</v>
      </c>
      <c r="E8237" s="12" t="s">
        <v>8</v>
      </c>
      <c r="F8237" s="9"/>
    </row>
    <row r="8238" s="1" customFormat="1" customHeight="1" spans="1:6">
      <c r="A8238" s="9" t="str">
        <f>"10510827516"</f>
        <v>10510827516</v>
      </c>
      <c r="B8238" s="10">
        <v>37.49</v>
      </c>
      <c r="C8238" s="9"/>
      <c r="D8238" s="9">
        <f t="shared" si="128"/>
        <v>37.49</v>
      </c>
      <c r="E8238" s="11"/>
      <c r="F8238" s="9"/>
    </row>
    <row r="8239" s="1" customFormat="1" customHeight="1" spans="1:6">
      <c r="A8239" s="9" t="str">
        <f>"10530827517"</f>
        <v>10530827517</v>
      </c>
      <c r="B8239" s="10">
        <v>42.69</v>
      </c>
      <c r="C8239" s="9"/>
      <c r="D8239" s="9">
        <f t="shared" si="128"/>
        <v>42.69</v>
      </c>
      <c r="E8239" s="11"/>
      <c r="F8239" s="9"/>
    </row>
    <row r="8240" s="1" customFormat="1" customHeight="1" spans="1:6">
      <c r="A8240" s="9" t="str">
        <f>"10360827518"</f>
        <v>10360827518</v>
      </c>
      <c r="B8240" s="10">
        <v>40.5</v>
      </c>
      <c r="C8240" s="9"/>
      <c r="D8240" s="9">
        <f t="shared" si="128"/>
        <v>40.5</v>
      </c>
      <c r="E8240" s="11"/>
      <c r="F8240" s="9"/>
    </row>
    <row r="8241" s="1" customFormat="1" customHeight="1" spans="1:6">
      <c r="A8241" s="9" t="str">
        <f>"10200827519"</f>
        <v>10200827519</v>
      </c>
      <c r="B8241" s="10">
        <v>42.41</v>
      </c>
      <c r="C8241" s="9"/>
      <c r="D8241" s="9">
        <f t="shared" si="128"/>
        <v>42.41</v>
      </c>
      <c r="E8241" s="11"/>
      <c r="F8241" s="9"/>
    </row>
    <row r="8242" s="1" customFormat="1" customHeight="1" spans="1:6">
      <c r="A8242" s="9" t="str">
        <f>"10060827520"</f>
        <v>10060827520</v>
      </c>
      <c r="B8242" s="10">
        <v>0</v>
      </c>
      <c r="C8242" s="9"/>
      <c r="D8242" s="9">
        <f t="shared" si="128"/>
        <v>0</v>
      </c>
      <c r="E8242" s="11"/>
      <c r="F8242" s="9" t="s">
        <v>7</v>
      </c>
    </row>
    <row r="8243" s="1" customFormat="1" customHeight="1" spans="1:6">
      <c r="A8243" s="9" t="str">
        <f>"10360827521"</f>
        <v>10360827521</v>
      </c>
      <c r="B8243" s="10">
        <v>0</v>
      </c>
      <c r="C8243" s="9"/>
      <c r="D8243" s="9">
        <f t="shared" si="128"/>
        <v>0</v>
      </c>
      <c r="E8243" s="11"/>
      <c r="F8243" s="9" t="s">
        <v>7</v>
      </c>
    </row>
    <row r="8244" s="1" customFormat="1" customHeight="1" spans="1:6">
      <c r="A8244" s="9" t="str">
        <f>"10130827522"</f>
        <v>10130827522</v>
      </c>
      <c r="B8244" s="10">
        <v>0</v>
      </c>
      <c r="C8244" s="9"/>
      <c r="D8244" s="9">
        <f t="shared" si="128"/>
        <v>0</v>
      </c>
      <c r="E8244" s="11"/>
      <c r="F8244" s="9" t="s">
        <v>7</v>
      </c>
    </row>
    <row r="8245" s="1" customFormat="1" customHeight="1" spans="1:6">
      <c r="A8245" s="9" t="str">
        <f>"10430827523"</f>
        <v>10430827523</v>
      </c>
      <c r="B8245" s="10">
        <v>38.92</v>
      </c>
      <c r="C8245" s="9"/>
      <c r="D8245" s="9">
        <f t="shared" si="128"/>
        <v>38.92</v>
      </c>
      <c r="E8245" s="11"/>
      <c r="F8245" s="9"/>
    </row>
    <row r="8246" s="1" customFormat="1" customHeight="1" spans="1:6">
      <c r="A8246" s="9" t="str">
        <f>"10510827524"</f>
        <v>10510827524</v>
      </c>
      <c r="B8246" s="10">
        <v>0</v>
      </c>
      <c r="C8246" s="9"/>
      <c r="D8246" s="9">
        <f t="shared" si="128"/>
        <v>0</v>
      </c>
      <c r="E8246" s="11"/>
      <c r="F8246" s="9" t="s">
        <v>7</v>
      </c>
    </row>
    <row r="8247" s="1" customFormat="1" customHeight="1" spans="1:6">
      <c r="A8247" s="9" t="str">
        <f>"10360827525"</f>
        <v>10360827525</v>
      </c>
      <c r="B8247" s="10">
        <v>41.38</v>
      </c>
      <c r="C8247" s="9"/>
      <c r="D8247" s="9">
        <f t="shared" si="128"/>
        <v>41.38</v>
      </c>
      <c r="E8247" s="11"/>
      <c r="F8247" s="9"/>
    </row>
    <row r="8248" s="1" customFormat="1" customHeight="1" spans="1:6">
      <c r="A8248" s="9" t="str">
        <f>"10060827526"</f>
        <v>10060827526</v>
      </c>
      <c r="B8248" s="10">
        <v>37.68</v>
      </c>
      <c r="C8248" s="9"/>
      <c r="D8248" s="9">
        <f t="shared" si="128"/>
        <v>37.68</v>
      </c>
      <c r="E8248" s="11"/>
      <c r="F8248" s="9"/>
    </row>
    <row r="8249" s="1" customFormat="1" customHeight="1" spans="1:6">
      <c r="A8249" s="9" t="str">
        <f>"10210827527"</f>
        <v>10210827527</v>
      </c>
      <c r="B8249" s="10">
        <v>46.25</v>
      </c>
      <c r="C8249" s="9"/>
      <c r="D8249" s="9">
        <f t="shared" si="128"/>
        <v>46.25</v>
      </c>
      <c r="E8249" s="11"/>
      <c r="F8249" s="9"/>
    </row>
    <row r="8250" s="1" customFormat="1" customHeight="1" spans="1:6">
      <c r="A8250" s="9" t="str">
        <f>"10240827528"</f>
        <v>10240827528</v>
      </c>
      <c r="B8250" s="10">
        <v>0</v>
      </c>
      <c r="C8250" s="9"/>
      <c r="D8250" s="9">
        <f t="shared" si="128"/>
        <v>0</v>
      </c>
      <c r="E8250" s="11"/>
      <c r="F8250" s="9" t="s">
        <v>7</v>
      </c>
    </row>
    <row r="8251" s="1" customFormat="1" customHeight="1" spans="1:6">
      <c r="A8251" s="9" t="str">
        <f>"10180827529"</f>
        <v>10180827529</v>
      </c>
      <c r="B8251" s="10">
        <v>31.6</v>
      </c>
      <c r="C8251" s="9"/>
      <c r="D8251" s="9">
        <f t="shared" si="128"/>
        <v>31.6</v>
      </c>
      <c r="E8251" s="11"/>
      <c r="F8251" s="9"/>
    </row>
    <row r="8252" s="1" customFormat="1" customHeight="1" spans="1:6">
      <c r="A8252" s="9" t="str">
        <f>"10090827530"</f>
        <v>10090827530</v>
      </c>
      <c r="B8252" s="10">
        <v>0</v>
      </c>
      <c r="C8252" s="9"/>
      <c r="D8252" s="9">
        <f t="shared" si="128"/>
        <v>0</v>
      </c>
      <c r="E8252" s="11"/>
      <c r="F8252" s="9" t="s">
        <v>7</v>
      </c>
    </row>
    <row r="8253" s="1" customFormat="1" customHeight="1" spans="1:6">
      <c r="A8253" s="9" t="str">
        <f>"10070827601"</f>
        <v>10070827601</v>
      </c>
      <c r="B8253" s="10">
        <v>38.27</v>
      </c>
      <c r="C8253" s="9"/>
      <c r="D8253" s="9">
        <f t="shared" si="128"/>
        <v>38.27</v>
      </c>
      <c r="E8253" s="11"/>
      <c r="F8253" s="9"/>
    </row>
    <row r="8254" s="1" customFormat="1" customHeight="1" spans="1:6">
      <c r="A8254" s="9" t="str">
        <f>"10300827602"</f>
        <v>10300827602</v>
      </c>
      <c r="B8254" s="10">
        <v>0</v>
      </c>
      <c r="C8254" s="9"/>
      <c r="D8254" s="9">
        <f t="shared" si="128"/>
        <v>0</v>
      </c>
      <c r="E8254" s="11"/>
      <c r="F8254" s="9" t="s">
        <v>7</v>
      </c>
    </row>
    <row r="8255" s="1" customFormat="1" customHeight="1" spans="1:6">
      <c r="A8255" s="9" t="str">
        <f>"10120827603"</f>
        <v>10120827603</v>
      </c>
      <c r="B8255" s="10">
        <v>0</v>
      </c>
      <c r="C8255" s="9"/>
      <c r="D8255" s="9">
        <f t="shared" si="128"/>
        <v>0</v>
      </c>
      <c r="E8255" s="11"/>
      <c r="F8255" s="9" t="s">
        <v>7</v>
      </c>
    </row>
    <row r="8256" s="1" customFormat="1" customHeight="1" spans="1:6">
      <c r="A8256" s="9" t="str">
        <f>"10140827604"</f>
        <v>10140827604</v>
      </c>
      <c r="B8256" s="10">
        <v>41.18</v>
      </c>
      <c r="C8256" s="9"/>
      <c r="D8256" s="9">
        <f t="shared" si="128"/>
        <v>41.18</v>
      </c>
      <c r="E8256" s="11"/>
      <c r="F8256" s="9"/>
    </row>
    <row r="8257" s="1" customFormat="1" customHeight="1" spans="1:6">
      <c r="A8257" s="9" t="str">
        <f>"10300827605"</f>
        <v>10300827605</v>
      </c>
      <c r="B8257" s="10">
        <v>37.24</v>
      </c>
      <c r="C8257" s="9"/>
      <c r="D8257" s="9">
        <f t="shared" si="128"/>
        <v>37.24</v>
      </c>
      <c r="E8257" s="11"/>
      <c r="F8257" s="9"/>
    </row>
    <row r="8258" s="1" customFormat="1" customHeight="1" spans="1:6">
      <c r="A8258" s="9" t="str">
        <f>"10360827606"</f>
        <v>10360827606</v>
      </c>
      <c r="B8258" s="10">
        <v>38.79</v>
      </c>
      <c r="C8258" s="9"/>
      <c r="D8258" s="9">
        <f t="shared" si="128"/>
        <v>38.79</v>
      </c>
      <c r="E8258" s="11"/>
      <c r="F8258" s="9"/>
    </row>
    <row r="8259" s="1" customFormat="1" customHeight="1" spans="1:6">
      <c r="A8259" s="9" t="str">
        <f>"10360827607"</f>
        <v>10360827607</v>
      </c>
      <c r="B8259" s="10">
        <v>44.55</v>
      </c>
      <c r="C8259" s="9"/>
      <c r="D8259" s="9">
        <f t="shared" ref="D8259:D8322" si="129">SUM(B8259:C8259)</f>
        <v>44.55</v>
      </c>
      <c r="E8259" s="11"/>
      <c r="F8259" s="9"/>
    </row>
    <row r="8260" s="1" customFormat="1" customHeight="1" spans="1:6">
      <c r="A8260" s="9" t="str">
        <f>"10360827608"</f>
        <v>10360827608</v>
      </c>
      <c r="B8260" s="10">
        <v>43.52</v>
      </c>
      <c r="C8260" s="9"/>
      <c r="D8260" s="9">
        <f t="shared" si="129"/>
        <v>43.52</v>
      </c>
      <c r="E8260" s="11"/>
      <c r="F8260" s="9"/>
    </row>
    <row r="8261" s="1" customFormat="1" customHeight="1" spans="1:6">
      <c r="A8261" s="9" t="str">
        <f>"10360827609"</f>
        <v>10360827609</v>
      </c>
      <c r="B8261" s="10">
        <v>47.41</v>
      </c>
      <c r="C8261" s="9"/>
      <c r="D8261" s="9">
        <f t="shared" si="129"/>
        <v>47.41</v>
      </c>
      <c r="E8261" s="11"/>
      <c r="F8261" s="9"/>
    </row>
    <row r="8262" s="1" customFormat="1" customHeight="1" spans="1:6">
      <c r="A8262" s="9" t="str">
        <f>"10520827610"</f>
        <v>10520827610</v>
      </c>
      <c r="B8262" s="10">
        <v>37.61</v>
      </c>
      <c r="C8262" s="9"/>
      <c r="D8262" s="9">
        <f t="shared" si="129"/>
        <v>37.61</v>
      </c>
      <c r="E8262" s="11"/>
      <c r="F8262" s="9"/>
    </row>
    <row r="8263" s="1" customFormat="1" customHeight="1" spans="1:6">
      <c r="A8263" s="9" t="str">
        <f>"10100827611"</f>
        <v>10100827611</v>
      </c>
      <c r="B8263" s="10">
        <v>45.3</v>
      </c>
      <c r="C8263" s="9"/>
      <c r="D8263" s="9">
        <f t="shared" si="129"/>
        <v>45.3</v>
      </c>
      <c r="E8263" s="11"/>
      <c r="F8263" s="9"/>
    </row>
    <row r="8264" s="1" customFormat="1" customHeight="1" spans="1:6">
      <c r="A8264" s="9" t="str">
        <f>"10060827612"</f>
        <v>10060827612</v>
      </c>
      <c r="B8264" s="10">
        <v>0</v>
      </c>
      <c r="C8264" s="9"/>
      <c r="D8264" s="9">
        <f t="shared" si="129"/>
        <v>0</v>
      </c>
      <c r="E8264" s="11"/>
      <c r="F8264" s="9" t="s">
        <v>7</v>
      </c>
    </row>
    <row r="8265" s="1" customFormat="1" customHeight="1" spans="1:6">
      <c r="A8265" s="9" t="str">
        <f>"10360827613"</f>
        <v>10360827613</v>
      </c>
      <c r="B8265" s="10">
        <v>29.2</v>
      </c>
      <c r="C8265" s="9"/>
      <c r="D8265" s="9">
        <f t="shared" si="129"/>
        <v>29.2</v>
      </c>
      <c r="E8265" s="11"/>
      <c r="F8265" s="9"/>
    </row>
    <row r="8266" s="1" customFormat="1" customHeight="1" spans="1:6">
      <c r="A8266" s="9" t="str">
        <f>"10160827614"</f>
        <v>10160827614</v>
      </c>
      <c r="B8266" s="10">
        <v>48.76</v>
      </c>
      <c r="C8266" s="9"/>
      <c r="D8266" s="9">
        <f t="shared" si="129"/>
        <v>48.76</v>
      </c>
      <c r="E8266" s="11"/>
      <c r="F8266" s="9"/>
    </row>
    <row r="8267" s="1" customFormat="1" customHeight="1" spans="1:6">
      <c r="A8267" s="9" t="str">
        <f>"10360827615"</f>
        <v>10360827615</v>
      </c>
      <c r="B8267" s="10">
        <v>45.88</v>
      </c>
      <c r="C8267" s="9"/>
      <c r="D8267" s="9">
        <f t="shared" si="129"/>
        <v>45.88</v>
      </c>
      <c r="E8267" s="11"/>
      <c r="F8267" s="9"/>
    </row>
    <row r="8268" s="1" customFormat="1" customHeight="1" spans="1:6">
      <c r="A8268" s="9" t="str">
        <f>"10130827616"</f>
        <v>10130827616</v>
      </c>
      <c r="B8268" s="10">
        <v>39.97</v>
      </c>
      <c r="C8268" s="9"/>
      <c r="D8268" s="9">
        <f t="shared" si="129"/>
        <v>39.97</v>
      </c>
      <c r="E8268" s="11"/>
      <c r="F8268" s="9"/>
    </row>
    <row r="8269" s="1" customFormat="1" customHeight="1" spans="1:6">
      <c r="A8269" s="9" t="str">
        <f>"10360827617"</f>
        <v>10360827617</v>
      </c>
      <c r="B8269" s="10">
        <v>35.78</v>
      </c>
      <c r="C8269" s="9"/>
      <c r="D8269" s="9">
        <f t="shared" si="129"/>
        <v>35.78</v>
      </c>
      <c r="E8269" s="11"/>
      <c r="F8269" s="9"/>
    </row>
    <row r="8270" s="1" customFormat="1" customHeight="1" spans="1:6">
      <c r="A8270" s="9" t="str">
        <f>"10370827618"</f>
        <v>10370827618</v>
      </c>
      <c r="B8270" s="10">
        <v>0</v>
      </c>
      <c r="C8270" s="9"/>
      <c r="D8270" s="9">
        <f t="shared" si="129"/>
        <v>0</v>
      </c>
      <c r="E8270" s="11"/>
      <c r="F8270" s="9" t="s">
        <v>7</v>
      </c>
    </row>
    <row r="8271" s="1" customFormat="1" customHeight="1" spans="1:6">
      <c r="A8271" s="9" t="str">
        <f>"10500827619"</f>
        <v>10500827619</v>
      </c>
      <c r="B8271" s="10">
        <v>43.87</v>
      </c>
      <c r="C8271" s="9">
        <v>10</v>
      </c>
      <c r="D8271" s="9">
        <f t="shared" si="129"/>
        <v>53.87</v>
      </c>
      <c r="E8271" s="12" t="s">
        <v>8</v>
      </c>
      <c r="F8271" s="9"/>
    </row>
    <row r="8272" s="1" customFormat="1" customHeight="1" spans="1:6">
      <c r="A8272" s="9" t="str">
        <f>"10360827620"</f>
        <v>10360827620</v>
      </c>
      <c r="B8272" s="10">
        <v>39.3</v>
      </c>
      <c r="C8272" s="9"/>
      <c r="D8272" s="9">
        <f t="shared" si="129"/>
        <v>39.3</v>
      </c>
      <c r="E8272" s="11"/>
      <c r="F8272" s="9"/>
    </row>
    <row r="8273" s="1" customFormat="1" customHeight="1" spans="1:6">
      <c r="A8273" s="9" t="str">
        <f>"10360827621"</f>
        <v>10360827621</v>
      </c>
      <c r="B8273" s="10">
        <v>37.96</v>
      </c>
      <c r="C8273" s="9"/>
      <c r="D8273" s="9">
        <f t="shared" si="129"/>
        <v>37.96</v>
      </c>
      <c r="E8273" s="11"/>
      <c r="F8273" s="9"/>
    </row>
    <row r="8274" s="1" customFormat="1" customHeight="1" spans="1:6">
      <c r="A8274" s="9" t="str">
        <f>"10280827622"</f>
        <v>10280827622</v>
      </c>
      <c r="B8274" s="10">
        <v>0</v>
      </c>
      <c r="C8274" s="9"/>
      <c r="D8274" s="9">
        <f t="shared" si="129"/>
        <v>0</v>
      </c>
      <c r="E8274" s="11"/>
      <c r="F8274" s="9" t="s">
        <v>7</v>
      </c>
    </row>
    <row r="8275" s="1" customFormat="1" customHeight="1" spans="1:6">
      <c r="A8275" s="9" t="str">
        <f>"10070827623"</f>
        <v>10070827623</v>
      </c>
      <c r="B8275" s="10">
        <v>0</v>
      </c>
      <c r="C8275" s="9"/>
      <c r="D8275" s="9">
        <f t="shared" si="129"/>
        <v>0</v>
      </c>
      <c r="E8275" s="11"/>
      <c r="F8275" s="9" t="s">
        <v>7</v>
      </c>
    </row>
    <row r="8276" s="1" customFormat="1" customHeight="1" spans="1:6">
      <c r="A8276" s="9" t="str">
        <f>"10360827624"</f>
        <v>10360827624</v>
      </c>
      <c r="B8276" s="10">
        <v>0</v>
      </c>
      <c r="C8276" s="9"/>
      <c r="D8276" s="9">
        <f t="shared" si="129"/>
        <v>0</v>
      </c>
      <c r="E8276" s="11"/>
      <c r="F8276" s="9" t="s">
        <v>7</v>
      </c>
    </row>
    <row r="8277" s="1" customFormat="1" customHeight="1" spans="1:6">
      <c r="A8277" s="9" t="str">
        <f>"10360827625"</f>
        <v>10360827625</v>
      </c>
      <c r="B8277" s="10">
        <v>0</v>
      </c>
      <c r="C8277" s="9"/>
      <c r="D8277" s="9">
        <f t="shared" si="129"/>
        <v>0</v>
      </c>
      <c r="E8277" s="11"/>
      <c r="F8277" s="9" t="s">
        <v>7</v>
      </c>
    </row>
    <row r="8278" s="1" customFormat="1" customHeight="1" spans="1:6">
      <c r="A8278" s="9" t="str">
        <f>"10300827626"</f>
        <v>10300827626</v>
      </c>
      <c r="B8278" s="10">
        <v>43.76</v>
      </c>
      <c r="C8278" s="9"/>
      <c r="D8278" s="9">
        <f t="shared" si="129"/>
        <v>43.76</v>
      </c>
      <c r="E8278" s="11"/>
      <c r="F8278" s="9"/>
    </row>
    <row r="8279" s="1" customFormat="1" customHeight="1" spans="1:6">
      <c r="A8279" s="9" t="str">
        <f>"10360827627"</f>
        <v>10360827627</v>
      </c>
      <c r="B8279" s="10">
        <v>0</v>
      </c>
      <c r="C8279" s="9"/>
      <c r="D8279" s="9">
        <f t="shared" si="129"/>
        <v>0</v>
      </c>
      <c r="E8279" s="11"/>
      <c r="F8279" s="9" t="s">
        <v>7</v>
      </c>
    </row>
    <row r="8280" s="1" customFormat="1" customHeight="1" spans="1:6">
      <c r="A8280" s="9" t="str">
        <f>"10100827628"</f>
        <v>10100827628</v>
      </c>
      <c r="B8280" s="10">
        <v>48.55</v>
      </c>
      <c r="C8280" s="9"/>
      <c r="D8280" s="9">
        <f t="shared" si="129"/>
        <v>48.55</v>
      </c>
      <c r="E8280" s="11"/>
      <c r="F8280" s="9"/>
    </row>
    <row r="8281" s="1" customFormat="1" customHeight="1" spans="1:6">
      <c r="A8281" s="9" t="str">
        <f>"10040827629"</f>
        <v>10040827629</v>
      </c>
      <c r="B8281" s="10">
        <v>40.1</v>
      </c>
      <c r="C8281" s="9"/>
      <c r="D8281" s="9">
        <f t="shared" si="129"/>
        <v>40.1</v>
      </c>
      <c r="E8281" s="11"/>
      <c r="F8281" s="9"/>
    </row>
    <row r="8282" s="1" customFormat="1" customHeight="1" spans="1:6">
      <c r="A8282" s="9" t="str">
        <f>"10530827630"</f>
        <v>10530827630</v>
      </c>
      <c r="B8282" s="10">
        <v>41.57</v>
      </c>
      <c r="C8282" s="9"/>
      <c r="D8282" s="9">
        <f t="shared" si="129"/>
        <v>41.57</v>
      </c>
      <c r="E8282" s="11"/>
      <c r="F8282" s="9"/>
    </row>
    <row r="8283" s="1" customFormat="1" customHeight="1" spans="1:6">
      <c r="A8283" s="9" t="str">
        <f>"10240827701"</f>
        <v>10240827701</v>
      </c>
      <c r="B8283" s="10">
        <v>36.43</v>
      </c>
      <c r="C8283" s="9"/>
      <c r="D8283" s="9">
        <f t="shared" si="129"/>
        <v>36.43</v>
      </c>
      <c r="E8283" s="11"/>
      <c r="F8283" s="9"/>
    </row>
    <row r="8284" s="1" customFormat="1" customHeight="1" spans="1:6">
      <c r="A8284" s="9" t="str">
        <f>"10120827702"</f>
        <v>10120827702</v>
      </c>
      <c r="B8284" s="10">
        <v>37.5</v>
      </c>
      <c r="C8284" s="9"/>
      <c r="D8284" s="9">
        <f t="shared" si="129"/>
        <v>37.5</v>
      </c>
      <c r="E8284" s="11"/>
      <c r="F8284" s="9"/>
    </row>
    <row r="8285" s="1" customFormat="1" customHeight="1" spans="1:6">
      <c r="A8285" s="9" t="str">
        <f>"10360827703"</f>
        <v>10360827703</v>
      </c>
      <c r="B8285" s="10">
        <v>0</v>
      </c>
      <c r="C8285" s="9"/>
      <c r="D8285" s="9">
        <f t="shared" si="129"/>
        <v>0</v>
      </c>
      <c r="E8285" s="11"/>
      <c r="F8285" s="9" t="s">
        <v>7</v>
      </c>
    </row>
    <row r="8286" s="1" customFormat="1" customHeight="1" spans="1:6">
      <c r="A8286" s="9" t="str">
        <f>"10520827704"</f>
        <v>10520827704</v>
      </c>
      <c r="B8286" s="10">
        <v>0</v>
      </c>
      <c r="C8286" s="9"/>
      <c r="D8286" s="9">
        <f t="shared" si="129"/>
        <v>0</v>
      </c>
      <c r="E8286" s="11"/>
      <c r="F8286" s="9" t="s">
        <v>7</v>
      </c>
    </row>
    <row r="8287" s="1" customFormat="1" customHeight="1" spans="1:6">
      <c r="A8287" s="9" t="str">
        <f>"10490827705"</f>
        <v>10490827705</v>
      </c>
      <c r="B8287" s="10">
        <v>40.25</v>
      </c>
      <c r="C8287" s="9"/>
      <c r="D8287" s="9">
        <f t="shared" si="129"/>
        <v>40.25</v>
      </c>
      <c r="E8287" s="11"/>
      <c r="F8287" s="9"/>
    </row>
    <row r="8288" s="1" customFormat="1" customHeight="1" spans="1:6">
      <c r="A8288" s="9" t="str">
        <f>"10510827706"</f>
        <v>10510827706</v>
      </c>
      <c r="B8288" s="10">
        <v>0</v>
      </c>
      <c r="C8288" s="9"/>
      <c r="D8288" s="9">
        <f t="shared" si="129"/>
        <v>0</v>
      </c>
      <c r="E8288" s="11"/>
      <c r="F8288" s="9" t="s">
        <v>7</v>
      </c>
    </row>
    <row r="8289" s="1" customFormat="1" customHeight="1" spans="1:6">
      <c r="A8289" s="9" t="str">
        <f>"10320827707"</f>
        <v>10320827707</v>
      </c>
      <c r="B8289" s="10">
        <v>44.87</v>
      </c>
      <c r="C8289" s="9"/>
      <c r="D8289" s="9">
        <f t="shared" si="129"/>
        <v>44.87</v>
      </c>
      <c r="E8289" s="11"/>
      <c r="F8289" s="9"/>
    </row>
    <row r="8290" s="1" customFormat="1" customHeight="1" spans="1:6">
      <c r="A8290" s="9" t="str">
        <f>"10420827708"</f>
        <v>10420827708</v>
      </c>
      <c r="B8290" s="10">
        <v>52.31</v>
      </c>
      <c r="C8290" s="9"/>
      <c r="D8290" s="9">
        <f t="shared" si="129"/>
        <v>52.31</v>
      </c>
      <c r="E8290" s="11"/>
      <c r="F8290" s="9"/>
    </row>
    <row r="8291" s="1" customFormat="1" customHeight="1" spans="1:6">
      <c r="A8291" s="9" t="str">
        <f>"10360827709"</f>
        <v>10360827709</v>
      </c>
      <c r="B8291" s="10">
        <v>44.08</v>
      </c>
      <c r="C8291" s="9"/>
      <c r="D8291" s="9">
        <f t="shared" si="129"/>
        <v>44.08</v>
      </c>
      <c r="E8291" s="11"/>
      <c r="F8291" s="9"/>
    </row>
    <row r="8292" s="1" customFormat="1" customHeight="1" spans="1:6">
      <c r="A8292" s="9" t="str">
        <f>"10440827710"</f>
        <v>10440827710</v>
      </c>
      <c r="B8292" s="10">
        <v>41.2</v>
      </c>
      <c r="C8292" s="9"/>
      <c r="D8292" s="9">
        <f t="shared" si="129"/>
        <v>41.2</v>
      </c>
      <c r="E8292" s="11"/>
      <c r="F8292" s="9"/>
    </row>
    <row r="8293" s="1" customFormat="1" customHeight="1" spans="1:6">
      <c r="A8293" s="9" t="str">
        <f>"10060827711"</f>
        <v>10060827711</v>
      </c>
      <c r="B8293" s="10">
        <v>37.34</v>
      </c>
      <c r="C8293" s="9"/>
      <c r="D8293" s="9">
        <f t="shared" si="129"/>
        <v>37.34</v>
      </c>
      <c r="E8293" s="11"/>
      <c r="F8293" s="9"/>
    </row>
    <row r="8294" s="1" customFormat="1" customHeight="1" spans="1:6">
      <c r="A8294" s="9" t="str">
        <f>"10170827712"</f>
        <v>10170827712</v>
      </c>
      <c r="B8294" s="10">
        <v>0</v>
      </c>
      <c r="C8294" s="9"/>
      <c r="D8294" s="9">
        <f t="shared" si="129"/>
        <v>0</v>
      </c>
      <c r="E8294" s="11"/>
      <c r="F8294" s="9" t="s">
        <v>7</v>
      </c>
    </row>
    <row r="8295" s="1" customFormat="1" customHeight="1" spans="1:6">
      <c r="A8295" s="9" t="str">
        <f>"10060827713"</f>
        <v>10060827713</v>
      </c>
      <c r="B8295" s="10">
        <v>39.66</v>
      </c>
      <c r="C8295" s="9"/>
      <c r="D8295" s="9">
        <f t="shared" si="129"/>
        <v>39.66</v>
      </c>
      <c r="E8295" s="11"/>
      <c r="F8295" s="9"/>
    </row>
    <row r="8296" s="1" customFormat="1" customHeight="1" spans="1:6">
      <c r="A8296" s="9" t="str">
        <f>"10060827714"</f>
        <v>10060827714</v>
      </c>
      <c r="B8296" s="10">
        <v>0</v>
      </c>
      <c r="C8296" s="9"/>
      <c r="D8296" s="9">
        <f t="shared" si="129"/>
        <v>0</v>
      </c>
      <c r="E8296" s="11"/>
      <c r="F8296" s="9" t="s">
        <v>7</v>
      </c>
    </row>
    <row r="8297" s="1" customFormat="1" customHeight="1" spans="1:6">
      <c r="A8297" s="9" t="str">
        <f>"10290827715"</f>
        <v>10290827715</v>
      </c>
      <c r="B8297" s="10">
        <v>36.41</v>
      </c>
      <c r="C8297" s="9"/>
      <c r="D8297" s="9">
        <f t="shared" si="129"/>
        <v>36.41</v>
      </c>
      <c r="E8297" s="11"/>
      <c r="F8297" s="9"/>
    </row>
    <row r="8298" s="1" customFormat="1" customHeight="1" spans="1:6">
      <c r="A8298" s="9" t="str">
        <f>"10360827716"</f>
        <v>10360827716</v>
      </c>
      <c r="B8298" s="10">
        <v>0</v>
      </c>
      <c r="C8298" s="9"/>
      <c r="D8298" s="9">
        <f t="shared" si="129"/>
        <v>0</v>
      </c>
      <c r="E8298" s="11"/>
      <c r="F8298" s="9" t="s">
        <v>7</v>
      </c>
    </row>
    <row r="8299" s="1" customFormat="1" customHeight="1" spans="1:6">
      <c r="A8299" s="9" t="str">
        <f>"10410827717"</f>
        <v>10410827717</v>
      </c>
      <c r="B8299" s="10">
        <v>0</v>
      </c>
      <c r="C8299" s="9"/>
      <c r="D8299" s="9">
        <f t="shared" si="129"/>
        <v>0</v>
      </c>
      <c r="E8299" s="11"/>
      <c r="F8299" s="9" t="s">
        <v>7</v>
      </c>
    </row>
    <row r="8300" s="1" customFormat="1" customHeight="1" spans="1:6">
      <c r="A8300" s="9" t="str">
        <f>"10360827718"</f>
        <v>10360827718</v>
      </c>
      <c r="B8300" s="10">
        <v>0</v>
      </c>
      <c r="C8300" s="9"/>
      <c r="D8300" s="9">
        <f t="shared" si="129"/>
        <v>0</v>
      </c>
      <c r="E8300" s="11"/>
      <c r="F8300" s="9" t="s">
        <v>7</v>
      </c>
    </row>
    <row r="8301" s="1" customFormat="1" customHeight="1" spans="1:6">
      <c r="A8301" s="9" t="str">
        <f>"10360827719"</f>
        <v>10360827719</v>
      </c>
      <c r="B8301" s="10">
        <v>37.66</v>
      </c>
      <c r="C8301" s="9"/>
      <c r="D8301" s="9">
        <f t="shared" si="129"/>
        <v>37.66</v>
      </c>
      <c r="E8301" s="11"/>
      <c r="F8301" s="9"/>
    </row>
    <row r="8302" s="1" customFormat="1" customHeight="1" spans="1:6">
      <c r="A8302" s="9" t="str">
        <f>"10360827720"</f>
        <v>10360827720</v>
      </c>
      <c r="B8302" s="10">
        <v>40.34</v>
      </c>
      <c r="C8302" s="9"/>
      <c r="D8302" s="9">
        <f t="shared" si="129"/>
        <v>40.34</v>
      </c>
      <c r="E8302" s="11"/>
      <c r="F8302" s="9"/>
    </row>
    <row r="8303" s="1" customFormat="1" customHeight="1" spans="1:6">
      <c r="A8303" s="9" t="str">
        <f>"10080827721"</f>
        <v>10080827721</v>
      </c>
      <c r="B8303" s="10">
        <v>0</v>
      </c>
      <c r="C8303" s="9"/>
      <c r="D8303" s="9">
        <f t="shared" si="129"/>
        <v>0</v>
      </c>
      <c r="E8303" s="11"/>
      <c r="F8303" s="9" t="s">
        <v>7</v>
      </c>
    </row>
    <row r="8304" s="1" customFormat="1" customHeight="1" spans="1:6">
      <c r="A8304" s="9" t="str">
        <f>"10100827722"</f>
        <v>10100827722</v>
      </c>
      <c r="B8304" s="10">
        <v>39.54</v>
      </c>
      <c r="C8304" s="9"/>
      <c r="D8304" s="9">
        <f t="shared" si="129"/>
        <v>39.54</v>
      </c>
      <c r="E8304" s="11"/>
      <c r="F8304" s="9"/>
    </row>
    <row r="8305" s="1" customFormat="1" customHeight="1" spans="1:6">
      <c r="A8305" s="9" t="str">
        <f>"10500827723"</f>
        <v>10500827723</v>
      </c>
      <c r="B8305" s="10">
        <v>13.42</v>
      </c>
      <c r="C8305" s="9"/>
      <c r="D8305" s="9">
        <f t="shared" si="129"/>
        <v>13.42</v>
      </c>
      <c r="E8305" s="11"/>
      <c r="F8305" s="9"/>
    </row>
    <row r="8306" s="1" customFormat="1" customHeight="1" spans="1:6">
      <c r="A8306" s="9" t="str">
        <f>"10530827724"</f>
        <v>10530827724</v>
      </c>
      <c r="B8306" s="10">
        <v>39</v>
      </c>
      <c r="C8306" s="9"/>
      <c r="D8306" s="9">
        <f t="shared" si="129"/>
        <v>39</v>
      </c>
      <c r="E8306" s="11"/>
      <c r="F8306" s="9"/>
    </row>
    <row r="8307" s="1" customFormat="1" customHeight="1" spans="1:6">
      <c r="A8307" s="9" t="str">
        <f>"10330827725"</f>
        <v>10330827725</v>
      </c>
      <c r="B8307" s="10">
        <v>0</v>
      </c>
      <c r="C8307" s="9"/>
      <c r="D8307" s="9">
        <f t="shared" si="129"/>
        <v>0</v>
      </c>
      <c r="E8307" s="11"/>
      <c r="F8307" s="9" t="s">
        <v>7</v>
      </c>
    </row>
    <row r="8308" s="1" customFormat="1" customHeight="1" spans="1:6">
      <c r="A8308" s="9" t="str">
        <f>"10360827726"</f>
        <v>10360827726</v>
      </c>
      <c r="B8308" s="10">
        <v>39.42</v>
      </c>
      <c r="C8308" s="9"/>
      <c r="D8308" s="9">
        <f t="shared" si="129"/>
        <v>39.42</v>
      </c>
      <c r="E8308" s="11"/>
      <c r="F8308" s="9"/>
    </row>
    <row r="8309" s="1" customFormat="1" customHeight="1" spans="1:6">
      <c r="A8309" s="9" t="str">
        <f>"10510827727"</f>
        <v>10510827727</v>
      </c>
      <c r="B8309" s="10">
        <v>41.47</v>
      </c>
      <c r="C8309" s="9">
        <v>10</v>
      </c>
      <c r="D8309" s="9">
        <f t="shared" si="129"/>
        <v>51.47</v>
      </c>
      <c r="E8309" s="12" t="s">
        <v>8</v>
      </c>
      <c r="F8309" s="9"/>
    </row>
    <row r="8310" s="1" customFormat="1" customHeight="1" spans="1:6">
      <c r="A8310" s="9" t="str">
        <f>"10510827728"</f>
        <v>10510827728</v>
      </c>
      <c r="B8310" s="10">
        <v>67.6</v>
      </c>
      <c r="C8310" s="9"/>
      <c r="D8310" s="9">
        <f t="shared" si="129"/>
        <v>67.6</v>
      </c>
      <c r="E8310" s="11"/>
      <c r="F8310" s="9"/>
    </row>
    <row r="8311" s="1" customFormat="1" customHeight="1" spans="1:6">
      <c r="A8311" s="9" t="str">
        <f>"10320827729"</f>
        <v>10320827729</v>
      </c>
      <c r="B8311" s="10">
        <v>36.36</v>
      </c>
      <c r="C8311" s="9"/>
      <c r="D8311" s="9">
        <f t="shared" si="129"/>
        <v>36.36</v>
      </c>
      <c r="E8311" s="11"/>
      <c r="F8311" s="9"/>
    </row>
    <row r="8312" s="1" customFormat="1" customHeight="1" spans="1:6">
      <c r="A8312" s="9" t="str">
        <f>"10300827730"</f>
        <v>10300827730</v>
      </c>
      <c r="B8312" s="10">
        <v>47.77</v>
      </c>
      <c r="C8312" s="9"/>
      <c r="D8312" s="9">
        <f t="shared" si="129"/>
        <v>47.77</v>
      </c>
      <c r="E8312" s="11"/>
      <c r="F8312" s="9"/>
    </row>
    <row r="8313" s="1" customFormat="1" customHeight="1" spans="1:6">
      <c r="A8313" s="9" t="str">
        <f>"10360827801"</f>
        <v>10360827801</v>
      </c>
      <c r="B8313" s="10">
        <v>40.16</v>
      </c>
      <c r="C8313" s="9"/>
      <c r="D8313" s="9">
        <f t="shared" si="129"/>
        <v>40.16</v>
      </c>
      <c r="E8313" s="11"/>
      <c r="F8313" s="9"/>
    </row>
    <row r="8314" s="1" customFormat="1" customHeight="1" spans="1:6">
      <c r="A8314" s="9" t="str">
        <f>"10090827802"</f>
        <v>10090827802</v>
      </c>
      <c r="B8314" s="10">
        <v>48.5</v>
      </c>
      <c r="C8314" s="9"/>
      <c r="D8314" s="9">
        <f t="shared" si="129"/>
        <v>48.5</v>
      </c>
      <c r="E8314" s="11"/>
      <c r="F8314" s="9"/>
    </row>
    <row r="8315" s="1" customFormat="1" customHeight="1" spans="1:6">
      <c r="A8315" s="9" t="str">
        <f>"10210827803"</f>
        <v>10210827803</v>
      </c>
      <c r="B8315" s="10">
        <v>40.23</v>
      </c>
      <c r="C8315" s="9"/>
      <c r="D8315" s="9">
        <f t="shared" si="129"/>
        <v>40.23</v>
      </c>
      <c r="E8315" s="11"/>
      <c r="F8315" s="9"/>
    </row>
    <row r="8316" s="1" customFormat="1" customHeight="1" spans="1:6">
      <c r="A8316" s="9" t="str">
        <f>"10060827804"</f>
        <v>10060827804</v>
      </c>
      <c r="B8316" s="10">
        <v>40.54</v>
      </c>
      <c r="C8316" s="9"/>
      <c r="D8316" s="9">
        <f t="shared" si="129"/>
        <v>40.54</v>
      </c>
      <c r="E8316" s="11"/>
      <c r="F8316" s="9"/>
    </row>
    <row r="8317" s="1" customFormat="1" customHeight="1" spans="1:6">
      <c r="A8317" s="9" t="str">
        <f>"10340827805"</f>
        <v>10340827805</v>
      </c>
      <c r="B8317" s="10">
        <v>43.29</v>
      </c>
      <c r="C8317" s="9"/>
      <c r="D8317" s="9">
        <f t="shared" si="129"/>
        <v>43.29</v>
      </c>
      <c r="E8317" s="11"/>
      <c r="F8317" s="9"/>
    </row>
    <row r="8318" s="1" customFormat="1" customHeight="1" spans="1:6">
      <c r="A8318" s="9" t="str">
        <f>"10530827806"</f>
        <v>10530827806</v>
      </c>
      <c r="B8318" s="10">
        <v>31.34</v>
      </c>
      <c r="C8318" s="9"/>
      <c r="D8318" s="9">
        <f t="shared" si="129"/>
        <v>31.34</v>
      </c>
      <c r="E8318" s="11"/>
      <c r="F8318" s="9"/>
    </row>
    <row r="8319" s="1" customFormat="1" customHeight="1" spans="1:6">
      <c r="A8319" s="9" t="str">
        <f>"10300827807"</f>
        <v>10300827807</v>
      </c>
      <c r="B8319" s="10">
        <v>44.08</v>
      </c>
      <c r="C8319" s="9"/>
      <c r="D8319" s="9">
        <f t="shared" si="129"/>
        <v>44.08</v>
      </c>
      <c r="E8319" s="11"/>
      <c r="F8319" s="9"/>
    </row>
    <row r="8320" s="1" customFormat="1" customHeight="1" spans="1:6">
      <c r="A8320" s="9" t="str">
        <f>"10360827808"</f>
        <v>10360827808</v>
      </c>
      <c r="B8320" s="10">
        <v>36.32</v>
      </c>
      <c r="C8320" s="9"/>
      <c r="D8320" s="9">
        <f t="shared" si="129"/>
        <v>36.32</v>
      </c>
      <c r="E8320" s="11"/>
      <c r="F8320" s="9"/>
    </row>
    <row r="8321" s="1" customFormat="1" customHeight="1" spans="1:6">
      <c r="A8321" s="9" t="str">
        <f>"10110827809"</f>
        <v>10110827809</v>
      </c>
      <c r="B8321" s="10">
        <v>0</v>
      </c>
      <c r="C8321" s="9"/>
      <c r="D8321" s="9">
        <f t="shared" si="129"/>
        <v>0</v>
      </c>
      <c r="E8321" s="11"/>
      <c r="F8321" s="9" t="s">
        <v>7</v>
      </c>
    </row>
    <row r="8322" s="1" customFormat="1" customHeight="1" spans="1:6">
      <c r="A8322" s="9" t="str">
        <f>"10530827810"</f>
        <v>10530827810</v>
      </c>
      <c r="B8322" s="10">
        <v>48.37</v>
      </c>
      <c r="C8322" s="9"/>
      <c r="D8322" s="9">
        <f t="shared" si="129"/>
        <v>48.37</v>
      </c>
      <c r="E8322" s="11"/>
      <c r="F8322" s="9"/>
    </row>
    <row r="8323" s="1" customFormat="1" customHeight="1" spans="1:6">
      <c r="A8323" s="9" t="str">
        <f>"10460827811"</f>
        <v>10460827811</v>
      </c>
      <c r="B8323" s="10">
        <v>34.13</v>
      </c>
      <c r="C8323" s="9"/>
      <c r="D8323" s="9">
        <f t="shared" ref="D8323:D8386" si="130">SUM(B8323:C8323)</f>
        <v>34.13</v>
      </c>
      <c r="E8323" s="11"/>
      <c r="F8323" s="9"/>
    </row>
    <row r="8324" s="1" customFormat="1" customHeight="1" spans="1:6">
      <c r="A8324" s="9" t="str">
        <f>"10170827812"</f>
        <v>10170827812</v>
      </c>
      <c r="B8324" s="10">
        <v>40.16</v>
      </c>
      <c r="C8324" s="9"/>
      <c r="D8324" s="9">
        <f t="shared" si="130"/>
        <v>40.16</v>
      </c>
      <c r="E8324" s="11"/>
      <c r="F8324" s="9"/>
    </row>
    <row r="8325" s="1" customFormat="1" customHeight="1" spans="1:6">
      <c r="A8325" s="9" t="str">
        <f>"10060827813"</f>
        <v>10060827813</v>
      </c>
      <c r="B8325" s="10">
        <v>40.33</v>
      </c>
      <c r="C8325" s="9"/>
      <c r="D8325" s="9">
        <f t="shared" si="130"/>
        <v>40.33</v>
      </c>
      <c r="E8325" s="11"/>
      <c r="F8325" s="9"/>
    </row>
    <row r="8326" s="1" customFormat="1" customHeight="1" spans="1:6">
      <c r="A8326" s="9" t="str">
        <f>"10360827814"</f>
        <v>10360827814</v>
      </c>
      <c r="B8326" s="10">
        <v>33.78</v>
      </c>
      <c r="C8326" s="9">
        <v>10</v>
      </c>
      <c r="D8326" s="9">
        <f t="shared" si="130"/>
        <v>43.78</v>
      </c>
      <c r="E8326" s="12" t="s">
        <v>8</v>
      </c>
      <c r="F8326" s="9"/>
    </row>
    <row r="8327" s="1" customFormat="1" customHeight="1" spans="1:6">
      <c r="A8327" s="9" t="str">
        <f>"10180827815"</f>
        <v>10180827815</v>
      </c>
      <c r="B8327" s="10">
        <v>35.07</v>
      </c>
      <c r="C8327" s="9"/>
      <c r="D8327" s="9">
        <f t="shared" si="130"/>
        <v>35.07</v>
      </c>
      <c r="E8327" s="11"/>
      <c r="F8327" s="9"/>
    </row>
    <row r="8328" s="1" customFormat="1" customHeight="1" spans="1:6">
      <c r="A8328" s="9" t="str">
        <f>"10170827816"</f>
        <v>10170827816</v>
      </c>
      <c r="B8328" s="10">
        <v>45.98</v>
      </c>
      <c r="C8328" s="9"/>
      <c r="D8328" s="9">
        <f t="shared" si="130"/>
        <v>45.98</v>
      </c>
      <c r="E8328" s="11"/>
      <c r="F8328" s="9"/>
    </row>
    <row r="8329" s="1" customFormat="1" customHeight="1" spans="1:6">
      <c r="A8329" s="9" t="str">
        <f>"10130827817"</f>
        <v>10130827817</v>
      </c>
      <c r="B8329" s="10">
        <v>0</v>
      </c>
      <c r="C8329" s="9"/>
      <c r="D8329" s="9">
        <f t="shared" si="130"/>
        <v>0</v>
      </c>
      <c r="E8329" s="11"/>
      <c r="F8329" s="9" t="s">
        <v>7</v>
      </c>
    </row>
    <row r="8330" s="1" customFormat="1" customHeight="1" spans="1:6">
      <c r="A8330" s="9" t="str">
        <f>"10360827818"</f>
        <v>10360827818</v>
      </c>
      <c r="B8330" s="10">
        <v>41.9</v>
      </c>
      <c r="C8330" s="9"/>
      <c r="D8330" s="9">
        <f t="shared" si="130"/>
        <v>41.9</v>
      </c>
      <c r="E8330" s="11"/>
      <c r="F8330" s="9"/>
    </row>
    <row r="8331" s="1" customFormat="1" customHeight="1" spans="1:6">
      <c r="A8331" s="9" t="str">
        <f>"10360827819"</f>
        <v>10360827819</v>
      </c>
      <c r="B8331" s="10">
        <v>40.26</v>
      </c>
      <c r="C8331" s="9"/>
      <c r="D8331" s="9">
        <f t="shared" si="130"/>
        <v>40.26</v>
      </c>
      <c r="E8331" s="11"/>
      <c r="F8331" s="9"/>
    </row>
    <row r="8332" s="1" customFormat="1" customHeight="1" spans="1:6">
      <c r="A8332" s="9" t="str">
        <f>"10360827820"</f>
        <v>10360827820</v>
      </c>
      <c r="B8332" s="10">
        <v>30.54</v>
      </c>
      <c r="C8332" s="9"/>
      <c r="D8332" s="9">
        <f t="shared" si="130"/>
        <v>30.54</v>
      </c>
      <c r="E8332" s="11"/>
      <c r="F8332" s="9"/>
    </row>
    <row r="8333" s="1" customFormat="1" customHeight="1" spans="1:6">
      <c r="A8333" s="9" t="str">
        <f>"10440827821"</f>
        <v>10440827821</v>
      </c>
      <c r="B8333" s="10">
        <v>45.73</v>
      </c>
      <c r="C8333" s="9"/>
      <c r="D8333" s="9">
        <f t="shared" si="130"/>
        <v>45.73</v>
      </c>
      <c r="E8333" s="11"/>
      <c r="F8333" s="9"/>
    </row>
    <row r="8334" s="1" customFormat="1" customHeight="1" spans="1:6">
      <c r="A8334" s="9" t="str">
        <f>"10530827822"</f>
        <v>10530827822</v>
      </c>
      <c r="B8334" s="10">
        <v>0</v>
      </c>
      <c r="C8334" s="9"/>
      <c r="D8334" s="9">
        <f t="shared" si="130"/>
        <v>0</v>
      </c>
      <c r="E8334" s="11"/>
      <c r="F8334" s="9" t="s">
        <v>7</v>
      </c>
    </row>
    <row r="8335" s="1" customFormat="1" customHeight="1" spans="1:6">
      <c r="A8335" s="9" t="str">
        <f>"10360827823"</f>
        <v>10360827823</v>
      </c>
      <c r="B8335" s="10">
        <v>38.12</v>
      </c>
      <c r="C8335" s="9"/>
      <c r="D8335" s="9">
        <f t="shared" si="130"/>
        <v>38.12</v>
      </c>
      <c r="E8335" s="11"/>
      <c r="F8335" s="9"/>
    </row>
    <row r="8336" s="1" customFormat="1" customHeight="1" spans="1:6">
      <c r="A8336" s="9" t="str">
        <f>"10530827824"</f>
        <v>10530827824</v>
      </c>
      <c r="B8336" s="10">
        <v>0</v>
      </c>
      <c r="C8336" s="9"/>
      <c r="D8336" s="9">
        <f t="shared" si="130"/>
        <v>0</v>
      </c>
      <c r="E8336" s="11"/>
      <c r="F8336" s="9" t="s">
        <v>7</v>
      </c>
    </row>
    <row r="8337" s="1" customFormat="1" customHeight="1" spans="1:6">
      <c r="A8337" s="9" t="str">
        <f>"10120827825"</f>
        <v>10120827825</v>
      </c>
      <c r="B8337" s="10">
        <v>49.33</v>
      </c>
      <c r="C8337" s="9"/>
      <c r="D8337" s="9">
        <f t="shared" si="130"/>
        <v>49.33</v>
      </c>
      <c r="E8337" s="11"/>
      <c r="F8337" s="9"/>
    </row>
    <row r="8338" s="1" customFormat="1" customHeight="1" spans="1:6">
      <c r="A8338" s="9" t="str">
        <f>"10360827826"</f>
        <v>10360827826</v>
      </c>
      <c r="B8338" s="10">
        <v>32.02</v>
      </c>
      <c r="C8338" s="9"/>
      <c r="D8338" s="9">
        <f t="shared" si="130"/>
        <v>32.02</v>
      </c>
      <c r="E8338" s="11"/>
      <c r="F8338" s="9"/>
    </row>
    <row r="8339" s="1" customFormat="1" customHeight="1" spans="1:6">
      <c r="A8339" s="9" t="str">
        <f>"10390827827"</f>
        <v>10390827827</v>
      </c>
      <c r="B8339" s="10">
        <v>36.43</v>
      </c>
      <c r="C8339" s="9"/>
      <c r="D8339" s="9">
        <f t="shared" si="130"/>
        <v>36.43</v>
      </c>
      <c r="E8339" s="11"/>
      <c r="F8339" s="9"/>
    </row>
    <row r="8340" s="1" customFormat="1" customHeight="1" spans="1:6">
      <c r="A8340" s="9" t="str">
        <f>"10510827828"</f>
        <v>10510827828</v>
      </c>
      <c r="B8340" s="10">
        <v>0</v>
      </c>
      <c r="C8340" s="9"/>
      <c r="D8340" s="9">
        <f t="shared" si="130"/>
        <v>0</v>
      </c>
      <c r="E8340" s="11"/>
      <c r="F8340" s="9" t="s">
        <v>7</v>
      </c>
    </row>
    <row r="8341" s="1" customFormat="1" customHeight="1" spans="1:6">
      <c r="A8341" s="9" t="str">
        <f>"10520827829"</f>
        <v>10520827829</v>
      </c>
      <c r="B8341" s="10">
        <v>41.39</v>
      </c>
      <c r="C8341" s="9"/>
      <c r="D8341" s="9">
        <f t="shared" si="130"/>
        <v>41.39</v>
      </c>
      <c r="E8341" s="11"/>
      <c r="F8341" s="9"/>
    </row>
    <row r="8342" s="1" customFormat="1" customHeight="1" spans="1:6">
      <c r="A8342" s="9" t="str">
        <f>"10230827830"</f>
        <v>10230827830</v>
      </c>
      <c r="B8342" s="10">
        <v>0</v>
      </c>
      <c r="C8342" s="9"/>
      <c r="D8342" s="9">
        <f t="shared" si="130"/>
        <v>0</v>
      </c>
      <c r="E8342" s="11"/>
      <c r="F8342" s="9" t="s">
        <v>7</v>
      </c>
    </row>
    <row r="8343" s="1" customFormat="1" customHeight="1" spans="1:6">
      <c r="A8343" s="9" t="str">
        <f>"10360827901"</f>
        <v>10360827901</v>
      </c>
      <c r="B8343" s="10">
        <v>39.08</v>
      </c>
      <c r="C8343" s="9"/>
      <c r="D8343" s="9">
        <f t="shared" si="130"/>
        <v>39.08</v>
      </c>
      <c r="E8343" s="11"/>
      <c r="F8343" s="9"/>
    </row>
    <row r="8344" s="1" customFormat="1" customHeight="1" spans="1:6">
      <c r="A8344" s="9" t="str">
        <f>"10120827902"</f>
        <v>10120827902</v>
      </c>
      <c r="B8344" s="10">
        <v>0</v>
      </c>
      <c r="C8344" s="9"/>
      <c r="D8344" s="9">
        <f t="shared" si="130"/>
        <v>0</v>
      </c>
      <c r="E8344" s="11"/>
      <c r="F8344" s="9" t="s">
        <v>7</v>
      </c>
    </row>
    <row r="8345" s="1" customFormat="1" customHeight="1" spans="1:6">
      <c r="A8345" s="9" t="str">
        <f>"10210827903"</f>
        <v>10210827903</v>
      </c>
      <c r="B8345" s="10">
        <v>44.2</v>
      </c>
      <c r="C8345" s="9"/>
      <c r="D8345" s="9">
        <f t="shared" si="130"/>
        <v>44.2</v>
      </c>
      <c r="E8345" s="11"/>
      <c r="F8345" s="9"/>
    </row>
    <row r="8346" s="1" customFormat="1" customHeight="1" spans="1:6">
      <c r="A8346" s="9" t="str">
        <f>"10360827904"</f>
        <v>10360827904</v>
      </c>
      <c r="B8346" s="10">
        <v>0</v>
      </c>
      <c r="C8346" s="9"/>
      <c r="D8346" s="9">
        <f t="shared" si="130"/>
        <v>0</v>
      </c>
      <c r="E8346" s="11"/>
      <c r="F8346" s="9" t="s">
        <v>7</v>
      </c>
    </row>
    <row r="8347" s="1" customFormat="1" customHeight="1" spans="1:6">
      <c r="A8347" s="9" t="str">
        <f>"10300827905"</f>
        <v>10300827905</v>
      </c>
      <c r="B8347" s="10">
        <v>35.97</v>
      </c>
      <c r="C8347" s="9"/>
      <c r="D8347" s="9">
        <f t="shared" si="130"/>
        <v>35.97</v>
      </c>
      <c r="E8347" s="11"/>
      <c r="F8347" s="9"/>
    </row>
    <row r="8348" s="1" customFormat="1" customHeight="1" spans="1:6">
      <c r="A8348" s="9" t="str">
        <f>"10360827906"</f>
        <v>10360827906</v>
      </c>
      <c r="B8348" s="10">
        <v>42.28</v>
      </c>
      <c r="C8348" s="9"/>
      <c r="D8348" s="9">
        <f t="shared" si="130"/>
        <v>42.28</v>
      </c>
      <c r="E8348" s="11"/>
      <c r="F8348" s="9"/>
    </row>
    <row r="8349" s="1" customFormat="1" customHeight="1" spans="1:6">
      <c r="A8349" s="9" t="str">
        <f>"10360827907"</f>
        <v>10360827907</v>
      </c>
      <c r="B8349" s="10">
        <v>0</v>
      </c>
      <c r="C8349" s="9"/>
      <c r="D8349" s="9">
        <f t="shared" si="130"/>
        <v>0</v>
      </c>
      <c r="E8349" s="11"/>
      <c r="F8349" s="9" t="s">
        <v>7</v>
      </c>
    </row>
    <row r="8350" s="1" customFormat="1" customHeight="1" spans="1:6">
      <c r="A8350" s="9" t="str">
        <f>"10420827908"</f>
        <v>10420827908</v>
      </c>
      <c r="B8350" s="10">
        <v>42.61</v>
      </c>
      <c r="C8350" s="9"/>
      <c r="D8350" s="9">
        <f t="shared" si="130"/>
        <v>42.61</v>
      </c>
      <c r="E8350" s="11"/>
      <c r="F8350" s="9"/>
    </row>
    <row r="8351" s="1" customFormat="1" customHeight="1" spans="1:6">
      <c r="A8351" s="9" t="str">
        <f>"10530827909"</f>
        <v>10530827909</v>
      </c>
      <c r="B8351" s="10">
        <v>41.94</v>
      </c>
      <c r="C8351" s="9">
        <v>10</v>
      </c>
      <c r="D8351" s="9">
        <f t="shared" si="130"/>
        <v>51.94</v>
      </c>
      <c r="E8351" s="12" t="s">
        <v>8</v>
      </c>
      <c r="F8351" s="9"/>
    </row>
    <row r="8352" s="1" customFormat="1" customHeight="1" spans="1:6">
      <c r="A8352" s="9" t="str">
        <f>"10170827910"</f>
        <v>10170827910</v>
      </c>
      <c r="B8352" s="10">
        <v>37.39</v>
      </c>
      <c r="C8352" s="9"/>
      <c r="D8352" s="9">
        <f t="shared" si="130"/>
        <v>37.39</v>
      </c>
      <c r="E8352" s="11"/>
      <c r="F8352" s="9"/>
    </row>
    <row r="8353" s="1" customFormat="1" customHeight="1" spans="1:6">
      <c r="A8353" s="9" t="str">
        <f>"10360827911"</f>
        <v>10360827911</v>
      </c>
      <c r="B8353" s="10">
        <v>45.84</v>
      </c>
      <c r="C8353" s="9"/>
      <c r="D8353" s="9">
        <f t="shared" si="130"/>
        <v>45.84</v>
      </c>
      <c r="E8353" s="11"/>
      <c r="F8353" s="9"/>
    </row>
    <row r="8354" s="1" customFormat="1" customHeight="1" spans="1:6">
      <c r="A8354" s="9" t="str">
        <f>"10420827912"</f>
        <v>10420827912</v>
      </c>
      <c r="B8354" s="10">
        <v>40.91</v>
      </c>
      <c r="C8354" s="9"/>
      <c r="D8354" s="9">
        <f t="shared" si="130"/>
        <v>40.91</v>
      </c>
      <c r="E8354" s="11"/>
      <c r="F8354" s="9"/>
    </row>
    <row r="8355" s="1" customFormat="1" customHeight="1" spans="1:6">
      <c r="A8355" s="9" t="str">
        <f>"10400827913"</f>
        <v>10400827913</v>
      </c>
      <c r="B8355" s="10">
        <v>0</v>
      </c>
      <c r="C8355" s="9"/>
      <c r="D8355" s="9">
        <f t="shared" si="130"/>
        <v>0</v>
      </c>
      <c r="E8355" s="11"/>
      <c r="F8355" s="9" t="s">
        <v>7</v>
      </c>
    </row>
    <row r="8356" s="1" customFormat="1" customHeight="1" spans="1:6">
      <c r="A8356" s="9" t="str">
        <f>"10360827914"</f>
        <v>10360827914</v>
      </c>
      <c r="B8356" s="10">
        <v>18.86</v>
      </c>
      <c r="C8356" s="9"/>
      <c r="D8356" s="9">
        <f t="shared" si="130"/>
        <v>18.86</v>
      </c>
      <c r="E8356" s="11"/>
      <c r="F8356" s="9"/>
    </row>
    <row r="8357" s="1" customFormat="1" customHeight="1" spans="1:6">
      <c r="A8357" s="9" t="str">
        <f>"10340827915"</f>
        <v>10340827915</v>
      </c>
      <c r="B8357" s="10">
        <v>44.56</v>
      </c>
      <c r="C8357" s="9"/>
      <c r="D8357" s="9">
        <f t="shared" si="130"/>
        <v>44.56</v>
      </c>
      <c r="E8357" s="11"/>
      <c r="F8357" s="9"/>
    </row>
    <row r="8358" s="1" customFormat="1" customHeight="1" spans="1:6">
      <c r="A8358" s="9" t="str">
        <f>"10530827916"</f>
        <v>10530827916</v>
      </c>
      <c r="B8358" s="10">
        <v>30.59</v>
      </c>
      <c r="C8358" s="9"/>
      <c r="D8358" s="9">
        <f t="shared" si="130"/>
        <v>30.59</v>
      </c>
      <c r="E8358" s="11"/>
      <c r="F8358" s="9"/>
    </row>
    <row r="8359" s="1" customFormat="1" customHeight="1" spans="1:6">
      <c r="A8359" s="9" t="str">
        <f>"10440827917"</f>
        <v>10440827917</v>
      </c>
      <c r="B8359" s="10">
        <v>0</v>
      </c>
      <c r="C8359" s="9"/>
      <c r="D8359" s="9">
        <f t="shared" si="130"/>
        <v>0</v>
      </c>
      <c r="E8359" s="11"/>
      <c r="F8359" s="9" t="s">
        <v>7</v>
      </c>
    </row>
    <row r="8360" s="1" customFormat="1" customHeight="1" spans="1:6">
      <c r="A8360" s="9" t="str">
        <f>"10080827918"</f>
        <v>10080827918</v>
      </c>
      <c r="B8360" s="10">
        <v>44.8</v>
      </c>
      <c r="C8360" s="9"/>
      <c r="D8360" s="9">
        <f t="shared" si="130"/>
        <v>44.8</v>
      </c>
      <c r="E8360" s="11"/>
      <c r="F8360" s="9"/>
    </row>
    <row r="8361" s="1" customFormat="1" customHeight="1" spans="1:6">
      <c r="A8361" s="9" t="str">
        <f>"10060827919"</f>
        <v>10060827919</v>
      </c>
      <c r="B8361" s="10">
        <v>36.95</v>
      </c>
      <c r="C8361" s="9"/>
      <c r="D8361" s="9">
        <f t="shared" si="130"/>
        <v>36.95</v>
      </c>
      <c r="E8361" s="11"/>
      <c r="F8361" s="9"/>
    </row>
    <row r="8362" s="1" customFormat="1" customHeight="1" spans="1:6">
      <c r="A8362" s="9" t="str">
        <f>"10200827920"</f>
        <v>10200827920</v>
      </c>
      <c r="B8362" s="10">
        <v>50.29</v>
      </c>
      <c r="C8362" s="9"/>
      <c r="D8362" s="9">
        <f t="shared" si="130"/>
        <v>50.29</v>
      </c>
      <c r="E8362" s="11"/>
      <c r="F8362" s="9"/>
    </row>
    <row r="8363" s="1" customFormat="1" customHeight="1" spans="1:6">
      <c r="A8363" s="9" t="str">
        <f>"10320827921"</f>
        <v>10320827921</v>
      </c>
      <c r="B8363" s="10">
        <v>47.68</v>
      </c>
      <c r="C8363" s="9"/>
      <c r="D8363" s="9">
        <f t="shared" si="130"/>
        <v>47.68</v>
      </c>
      <c r="E8363" s="11"/>
      <c r="F8363" s="9"/>
    </row>
    <row r="8364" s="1" customFormat="1" customHeight="1" spans="1:6">
      <c r="A8364" s="9" t="str">
        <f>"10060827922"</f>
        <v>10060827922</v>
      </c>
      <c r="B8364" s="10">
        <v>43.24</v>
      </c>
      <c r="C8364" s="9"/>
      <c r="D8364" s="9">
        <f t="shared" si="130"/>
        <v>43.24</v>
      </c>
      <c r="E8364" s="11"/>
      <c r="F8364" s="9"/>
    </row>
    <row r="8365" s="1" customFormat="1" customHeight="1" spans="1:6">
      <c r="A8365" s="9" t="str">
        <f>"10240827923"</f>
        <v>10240827923</v>
      </c>
      <c r="B8365" s="10">
        <v>41.1</v>
      </c>
      <c r="C8365" s="9"/>
      <c r="D8365" s="9">
        <f t="shared" si="130"/>
        <v>41.1</v>
      </c>
      <c r="E8365" s="11"/>
      <c r="F8365" s="9"/>
    </row>
    <row r="8366" s="1" customFormat="1" customHeight="1" spans="1:6">
      <c r="A8366" s="9" t="str">
        <f>"10080827924"</f>
        <v>10080827924</v>
      </c>
      <c r="B8366" s="10">
        <v>0</v>
      </c>
      <c r="C8366" s="9"/>
      <c r="D8366" s="9">
        <f t="shared" si="130"/>
        <v>0</v>
      </c>
      <c r="E8366" s="11"/>
      <c r="F8366" s="9" t="s">
        <v>7</v>
      </c>
    </row>
    <row r="8367" s="1" customFormat="1" customHeight="1" spans="1:6">
      <c r="A8367" s="9" t="str">
        <f>"10430827925"</f>
        <v>10430827925</v>
      </c>
      <c r="B8367" s="10">
        <v>45.57</v>
      </c>
      <c r="C8367" s="9"/>
      <c r="D8367" s="9">
        <f t="shared" si="130"/>
        <v>45.57</v>
      </c>
      <c r="E8367" s="11"/>
      <c r="F8367" s="9"/>
    </row>
    <row r="8368" s="1" customFormat="1" customHeight="1" spans="1:6">
      <c r="A8368" s="9" t="str">
        <f>"10170827926"</f>
        <v>10170827926</v>
      </c>
      <c r="B8368" s="10">
        <v>38.69</v>
      </c>
      <c r="C8368" s="9"/>
      <c r="D8368" s="9">
        <f t="shared" si="130"/>
        <v>38.69</v>
      </c>
      <c r="E8368" s="11"/>
      <c r="F8368" s="9"/>
    </row>
    <row r="8369" s="1" customFormat="1" customHeight="1" spans="1:6">
      <c r="A8369" s="9" t="str">
        <f>"10360827927"</f>
        <v>10360827927</v>
      </c>
      <c r="B8369" s="10">
        <v>43.77</v>
      </c>
      <c r="C8369" s="9"/>
      <c r="D8369" s="9">
        <f t="shared" si="130"/>
        <v>43.77</v>
      </c>
      <c r="E8369" s="11"/>
      <c r="F8369" s="9"/>
    </row>
    <row r="8370" s="1" customFormat="1" customHeight="1" spans="1:6">
      <c r="A8370" s="9" t="str">
        <f>"10100827928"</f>
        <v>10100827928</v>
      </c>
      <c r="B8370" s="10">
        <v>33.56</v>
      </c>
      <c r="C8370" s="9"/>
      <c r="D8370" s="9">
        <f t="shared" si="130"/>
        <v>33.56</v>
      </c>
      <c r="E8370" s="11"/>
      <c r="F8370" s="9"/>
    </row>
    <row r="8371" s="1" customFormat="1" customHeight="1" spans="1:6">
      <c r="A8371" s="9" t="str">
        <f>"10360827929"</f>
        <v>10360827929</v>
      </c>
      <c r="B8371" s="10">
        <v>34.28</v>
      </c>
      <c r="C8371" s="9"/>
      <c r="D8371" s="9">
        <f t="shared" si="130"/>
        <v>34.28</v>
      </c>
      <c r="E8371" s="11"/>
      <c r="F8371" s="9"/>
    </row>
    <row r="8372" s="1" customFormat="1" customHeight="1" spans="1:6">
      <c r="A8372" s="9" t="str">
        <f>"10060827930"</f>
        <v>10060827930</v>
      </c>
      <c r="B8372" s="10">
        <v>0</v>
      </c>
      <c r="C8372" s="9"/>
      <c r="D8372" s="9">
        <f t="shared" si="130"/>
        <v>0</v>
      </c>
      <c r="E8372" s="11"/>
      <c r="F8372" s="9" t="s">
        <v>7</v>
      </c>
    </row>
    <row r="8373" s="1" customFormat="1" customHeight="1" spans="1:6">
      <c r="A8373" s="9" t="str">
        <f>"10280828001"</f>
        <v>10280828001</v>
      </c>
      <c r="B8373" s="10">
        <v>0</v>
      </c>
      <c r="C8373" s="9"/>
      <c r="D8373" s="9">
        <f t="shared" si="130"/>
        <v>0</v>
      </c>
      <c r="E8373" s="11"/>
      <c r="F8373" s="9" t="s">
        <v>7</v>
      </c>
    </row>
    <row r="8374" s="1" customFormat="1" customHeight="1" spans="1:6">
      <c r="A8374" s="9" t="str">
        <f>"10520828002"</f>
        <v>10520828002</v>
      </c>
      <c r="B8374" s="10">
        <v>45.32</v>
      </c>
      <c r="C8374" s="9"/>
      <c r="D8374" s="9">
        <f t="shared" si="130"/>
        <v>45.32</v>
      </c>
      <c r="E8374" s="11"/>
      <c r="F8374" s="9"/>
    </row>
    <row r="8375" s="1" customFormat="1" customHeight="1" spans="1:6">
      <c r="A8375" s="9" t="str">
        <f>"10080828003"</f>
        <v>10080828003</v>
      </c>
      <c r="B8375" s="10">
        <v>0</v>
      </c>
      <c r="C8375" s="9"/>
      <c r="D8375" s="9">
        <f t="shared" si="130"/>
        <v>0</v>
      </c>
      <c r="E8375" s="11"/>
      <c r="F8375" s="9" t="s">
        <v>7</v>
      </c>
    </row>
    <row r="8376" s="1" customFormat="1" customHeight="1" spans="1:6">
      <c r="A8376" s="9" t="str">
        <f>"10100828004"</f>
        <v>10100828004</v>
      </c>
      <c r="B8376" s="10">
        <v>40.17</v>
      </c>
      <c r="C8376" s="9"/>
      <c r="D8376" s="9">
        <f t="shared" si="130"/>
        <v>40.17</v>
      </c>
      <c r="E8376" s="11"/>
      <c r="F8376" s="9"/>
    </row>
    <row r="8377" s="1" customFormat="1" customHeight="1" spans="1:6">
      <c r="A8377" s="9" t="str">
        <f>"10520828005"</f>
        <v>10520828005</v>
      </c>
      <c r="B8377" s="10">
        <v>0</v>
      </c>
      <c r="C8377" s="9"/>
      <c r="D8377" s="9">
        <f t="shared" si="130"/>
        <v>0</v>
      </c>
      <c r="E8377" s="11"/>
      <c r="F8377" s="9" t="s">
        <v>7</v>
      </c>
    </row>
    <row r="8378" s="1" customFormat="1" customHeight="1" spans="1:6">
      <c r="A8378" s="9" t="str">
        <f>"10410828006"</f>
        <v>10410828006</v>
      </c>
      <c r="B8378" s="10">
        <v>0</v>
      </c>
      <c r="C8378" s="9"/>
      <c r="D8378" s="9">
        <f t="shared" si="130"/>
        <v>0</v>
      </c>
      <c r="E8378" s="11"/>
      <c r="F8378" s="9" t="s">
        <v>7</v>
      </c>
    </row>
    <row r="8379" s="1" customFormat="1" customHeight="1" spans="1:6">
      <c r="A8379" s="9" t="str">
        <f>"10270828007"</f>
        <v>10270828007</v>
      </c>
      <c r="B8379" s="10">
        <v>41.75</v>
      </c>
      <c r="C8379" s="9"/>
      <c r="D8379" s="9">
        <f t="shared" si="130"/>
        <v>41.75</v>
      </c>
      <c r="E8379" s="11"/>
      <c r="F8379" s="9"/>
    </row>
    <row r="8380" s="1" customFormat="1" customHeight="1" spans="1:6">
      <c r="A8380" s="9" t="str">
        <f>"10400828008"</f>
        <v>10400828008</v>
      </c>
      <c r="B8380" s="10">
        <v>37.7</v>
      </c>
      <c r="C8380" s="9"/>
      <c r="D8380" s="9">
        <f t="shared" si="130"/>
        <v>37.7</v>
      </c>
      <c r="E8380" s="11"/>
      <c r="F8380" s="9"/>
    </row>
    <row r="8381" s="1" customFormat="1" customHeight="1" spans="1:6">
      <c r="A8381" s="9" t="str">
        <f>"10330828009"</f>
        <v>10330828009</v>
      </c>
      <c r="B8381" s="10">
        <v>37.33</v>
      </c>
      <c r="C8381" s="9"/>
      <c r="D8381" s="9">
        <f t="shared" si="130"/>
        <v>37.33</v>
      </c>
      <c r="E8381" s="11"/>
      <c r="F8381" s="9"/>
    </row>
    <row r="8382" s="1" customFormat="1" customHeight="1" spans="1:6">
      <c r="A8382" s="9" t="str">
        <f>"10360828010"</f>
        <v>10360828010</v>
      </c>
      <c r="B8382" s="10">
        <v>0</v>
      </c>
      <c r="C8382" s="9"/>
      <c r="D8382" s="9">
        <f t="shared" si="130"/>
        <v>0</v>
      </c>
      <c r="E8382" s="11"/>
      <c r="F8382" s="9" t="s">
        <v>7</v>
      </c>
    </row>
    <row r="8383" s="1" customFormat="1" customHeight="1" spans="1:6">
      <c r="A8383" s="9" t="str">
        <f>"10360828011"</f>
        <v>10360828011</v>
      </c>
      <c r="B8383" s="10">
        <v>49.78</v>
      </c>
      <c r="C8383" s="9"/>
      <c r="D8383" s="9">
        <f t="shared" si="130"/>
        <v>49.78</v>
      </c>
      <c r="E8383" s="11"/>
      <c r="F8383" s="9"/>
    </row>
    <row r="8384" s="1" customFormat="1" customHeight="1" spans="1:6">
      <c r="A8384" s="9" t="str">
        <f>"10530828012"</f>
        <v>10530828012</v>
      </c>
      <c r="B8384" s="10">
        <v>31.96</v>
      </c>
      <c r="C8384" s="9"/>
      <c r="D8384" s="9">
        <f t="shared" si="130"/>
        <v>31.96</v>
      </c>
      <c r="E8384" s="11"/>
      <c r="F8384" s="9"/>
    </row>
    <row r="8385" s="1" customFormat="1" customHeight="1" spans="1:6">
      <c r="A8385" s="9" t="str">
        <f>"10530828013"</f>
        <v>10530828013</v>
      </c>
      <c r="B8385" s="10">
        <v>27.33</v>
      </c>
      <c r="C8385" s="9">
        <v>10</v>
      </c>
      <c r="D8385" s="9">
        <f t="shared" si="130"/>
        <v>37.33</v>
      </c>
      <c r="E8385" s="12" t="s">
        <v>8</v>
      </c>
      <c r="F8385" s="9"/>
    </row>
    <row r="8386" s="1" customFormat="1" customHeight="1" spans="1:6">
      <c r="A8386" s="9" t="str">
        <f>"10360828014"</f>
        <v>10360828014</v>
      </c>
      <c r="B8386" s="10">
        <v>31.89</v>
      </c>
      <c r="C8386" s="9"/>
      <c r="D8386" s="9">
        <f t="shared" si="130"/>
        <v>31.89</v>
      </c>
      <c r="E8386" s="11"/>
      <c r="F8386" s="9"/>
    </row>
    <row r="8387" s="1" customFormat="1" customHeight="1" spans="1:6">
      <c r="A8387" s="9" t="str">
        <f>"10500828015"</f>
        <v>10500828015</v>
      </c>
      <c r="B8387" s="10">
        <v>38.59</v>
      </c>
      <c r="C8387" s="9"/>
      <c r="D8387" s="9">
        <f t="shared" ref="D8387:D8450" si="131">SUM(B8387:C8387)</f>
        <v>38.59</v>
      </c>
      <c r="E8387" s="11"/>
      <c r="F8387" s="9"/>
    </row>
    <row r="8388" s="1" customFormat="1" customHeight="1" spans="1:6">
      <c r="A8388" s="9" t="str">
        <f>"10360828016"</f>
        <v>10360828016</v>
      </c>
      <c r="B8388" s="10">
        <v>0</v>
      </c>
      <c r="C8388" s="9">
        <v>10</v>
      </c>
      <c r="D8388" s="9">
        <f t="shared" si="131"/>
        <v>10</v>
      </c>
      <c r="E8388" s="12" t="s">
        <v>8</v>
      </c>
      <c r="F8388" s="9" t="s">
        <v>7</v>
      </c>
    </row>
    <row r="8389" s="1" customFormat="1" customHeight="1" spans="1:6">
      <c r="A8389" s="9" t="str">
        <f>"10530828017"</f>
        <v>10530828017</v>
      </c>
      <c r="B8389" s="10">
        <v>33.75</v>
      </c>
      <c r="C8389" s="9"/>
      <c r="D8389" s="9">
        <f t="shared" si="131"/>
        <v>33.75</v>
      </c>
      <c r="E8389" s="11"/>
      <c r="F8389" s="9"/>
    </row>
    <row r="8390" s="1" customFormat="1" customHeight="1" spans="1:6">
      <c r="A8390" s="9" t="str">
        <f>"10120828018"</f>
        <v>10120828018</v>
      </c>
      <c r="B8390" s="10">
        <v>48.29</v>
      </c>
      <c r="C8390" s="9"/>
      <c r="D8390" s="9">
        <f t="shared" si="131"/>
        <v>48.29</v>
      </c>
      <c r="E8390" s="11"/>
      <c r="F8390" s="9"/>
    </row>
    <row r="8391" s="1" customFormat="1" customHeight="1" spans="1:6">
      <c r="A8391" s="9" t="str">
        <f>"10380828019"</f>
        <v>10380828019</v>
      </c>
      <c r="B8391" s="10">
        <v>38.11</v>
      </c>
      <c r="C8391" s="9"/>
      <c r="D8391" s="9">
        <f t="shared" si="131"/>
        <v>38.11</v>
      </c>
      <c r="E8391" s="11"/>
      <c r="F8391" s="9"/>
    </row>
    <row r="8392" s="1" customFormat="1" customHeight="1" spans="1:6">
      <c r="A8392" s="9" t="str">
        <f>"10060828020"</f>
        <v>10060828020</v>
      </c>
      <c r="B8392" s="10">
        <v>43.67</v>
      </c>
      <c r="C8392" s="9"/>
      <c r="D8392" s="9">
        <f t="shared" si="131"/>
        <v>43.67</v>
      </c>
      <c r="E8392" s="11"/>
      <c r="F8392" s="9"/>
    </row>
    <row r="8393" s="1" customFormat="1" customHeight="1" spans="1:6">
      <c r="A8393" s="9" t="str">
        <f>"10070828021"</f>
        <v>10070828021</v>
      </c>
      <c r="B8393" s="10">
        <v>0</v>
      </c>
      <c r="C8393" s="9"/>
      <c r="D8393" s="9">
        <f t="shared" si="131"/>
        <v>0</v>
      </c>
      <c r="E8393" s="11"/>
      <c r="F8393" s="9" t="s">
        <v>7</v>
      </c>
    </row>
    <row r="8394" s="1" customFormat="1" customHeight="1" spans="1:6">
      <c r="A8394" s="9" t="str">
        <f>"10530828022"</f>
        <v>10530828022</v>
      </c>
      <c r="B8394" s="10">
        <v>34.91</v>
      </c>
      <c r="C8394" s="9"/>
      <c r="D8394" s="9">
        <f t="shared" si="131"/>
        <v>34.91</v>
      </c>
      <c r="E8394" s="11"/>
      <c r="F8394" s="9"/>
    </row>
    <row r="8395" s="1" customFormat="1" customHeight="1" spans="1:6">
      <c r="A8395" s="9" t="str">
        <f>"10360828023"</f>
        <v>10360828023</v>
      </c>
      <c r="B8395" s="10">
        <v>0</v>
      </c>
      <c r="C8395" s="9"/>
      <c r="D8395" s="9">
        <f t="shared" si="131"/>
        <v>0</v>
      </c>
      <c r="E8395" s="11"/>
      <c r="F8395" s="9" t="s">
        <v>7</v>
      </c>
    </row>
    <row r="8396" s="1" customFormat="1" customHeight="1" spans="1:6">
      <c r="A8396" s="9" t="str">
        <f>"10410828024"</f>
        <v>10410828024</v>
      </c>
      <c r="B8396" s="10">
        <v>41.06</v>
      </c>
      <c r="C8396" s="9"/>
      <c r="D8396" s="9">
        <f t="shared" si="131"/>
        <v>41.06</v>
      </c>
      <c r="E8396" s="11"/>
      <c r="F8396" s="9"/>
    </row>
    <row r="8397" s="1" customFormat="1" customHeight="1" spans="1:6">
      <c r="A8397" s="9" t="str">
        <f>"10020828025"</f>
        <v>10020828025</v>
      </c>
      <c r="B8397" s="10">
        <v>44.5</v>
      </c>
      <c r="C8397" s="9"/>
      <c r="D8397" s="9">
        <f t="shared" si="131"/>
        <v>44.5</v>
      </c>
      <c r="E8397" s="11"/>
      <c r="F8397" s="9"/>
    </row>
    <row r="8398" s="1" customFormat="1" customHeight="1" spans="1:6">
      <c r="A8398" s="9" t="str">
        <f>"10360828026"</f>
        <v>10360828026</v>
      </c>
      <c r="B8398" s="10">
        <v>36.19</v>
      </c>
      <c r="C8398" s="9"/>
      <c r="D8398" s="9">
        <f t="shared" si="131"/>
        <v>36.19</v>
      </c>
      <c r="E8398" s="11"/>
      <c r="F8398" s="9"/>
    </row>
    <row r="8399" s="1" customFormat="1" customHeight="1" spans="1:6">
      <c r="A8399" s="9" t="str">
        <f>"10520828027"</f>
        <v>10520828027</v>
      </c>
      <c r="B8399" s="10">
        <v>35.33</v>
      </c>
      <c r="C8399" s="9"/>
      <c r="D8399" s="9">
        <f t="shared" si="131"/>
        <v>35.33</v>
      </c>
      <c r="E8399" s="11"/>
      <c r="F8399" s="9"/>
    </row>
    <row r="8400" s="1" customFormat="1" customHeight="1" spans="1:6">
      <c r="A8400" s="9" t="str">
        <f>"10210828028"</f>
        <v>10210828028</v>
      </c>
      <c r="B8400" s="10">
        <v>0</v>
      </c>
      <c r="C8400" s="9"/>
      <c r="D8400" s="9">
        <f t="shared" si="131"/>
        <v>0</v>
      </c>
      <c r="E8400" s="11"/>
      <c r="F8400" s="9" t="s">
        <v>7</v>
      </c>
    </row>
    <row r="8401" s="1" customFormat="1" customHeight="1" spans="1:6">
      <c r="A8401" s="9" t="str">
        <f>"10270828029"</f>
        <v>10270828029</v>
      </c>
      <c r="B8401" s="10">
        <v>0</v>
      </c>
      <c r="C8401" s="9"/>
      <c r="D8401" s="9">
        <f t="shared" si="131"/>
        <v>0</v>
      </c>
      <c r="E8401" s="11"/>
      <c r="F8401" s="9" t="s">
        <v>7</v>
      </c>
    </row>
    <row r="8402" s="1" customFormat="1" customHeight="1" spans="1:6">
      <c r="A8402" s="9" t="str">
        <f>"10360828030"</f>
        <v>10360828030</v>
      </c>
      <c r="B8402" s="10">
        <v>38.25</v>
      </c>
      <c r="C8402" s="9"/>
      <c r="D8402" s="9">
        <f t="shared" si="131"/>
        <v>38.25</v>
      </c>
      <c r="E8402" s="11"/>
      <c r="F8402" s="9"/>
    </row>
    <row r="8403" s="1" customFormat="1" customHeight="1" spans="1:6">
      <c r="A8403" s="9" t="str">
        <f>"10300828101"</f>
        <v>10300828101</v>
      </c>
      <c r="B8403" s="10">
        <v>41.92</v>
      </c>
      <c r="C8403" s="9"/>
      <c r="D8403" s="9">
        <f t="shared" si="131"/>
        <v>41.92</v>
      </c>
      <c r="E8403" s="11"/>
      <c r="F8403" s="9"/>
    </row>
    <row r="8404" s="1" customFormat="1" customHeight="1" spans="1:6">
      <c r="A8404" s="9" t="str">
        <f>"10360828102"</f>
        <v>10360828102</v>
      </c>
      <c r="B8404" s="10">
        <v>37.1</v>
      </c>
      <c r="C8404" s="9"/>
      <c r="D8404" s="9">
        <f t="shared" si="131"/>
        <v>37.1</v>
      </c>
      <c r="E8404" s="11"/>
      <c r="F8404" s="9"/>
    </row>
    <row r="8405" s="1" customFormat="1" customHeight="1" spans="1:6">
      <c r="A8405" s="9" t="str">
        <f>"10170828103"</f>
        <v>10170828103</v>
      </c>
      <c r="B8405" s="10">
        <v>43.54</v>
      </c>
      <c r="C8405" s="9"/>
      <c r="D8405" s="9">
        <f t="shared" si="131"/>
        <v>43.54</v>
      </c>
      <c r="E8405" s="11"/>
      <c r="F8405" s="9"/>
    </row>
    <row r="8406" s="1" customFormat="1" customHeight="1" spans="1:6">
      <c r="A8406" s="9" t="str">
        <f>"10330828104"</f>
        <v>10330828104</v>
      </c>
      <c r="B8406" s="10">
        <v>32.98</v>
      </c>
      <c r="C8406" s="9"/>
      <c r="D8406" s="9">
        <f t="shared" si="131"/>
        <v>32.98</v>
      </c>
      <c r="E8406" s="11"/>
      <c r="F8406" s="9"/>
    </row>
    <row r="8407" s="1" customFormat="1" customHeight="1" spans="1:6">
      <c r="A8407" s="9" t="str">
        <f>"10510828105"</f>
        <v>10510828105</v>
      </c>
      <c r="B8407" s="10">
        <v>47.44</v>
      </c>
      <c r="C8407" s="9"/>
      <c r="D8407" s="9">
        <f t="shared" si="131"/>
        <v>47.44</v>
      </c>
      <c r="E8407" s="11"/>
      <c r="F8407" s="9"/>
    </row>
    <row r="8408" s="1" customFormat="1" customHeight="1" spans="1:6">
      <c r="A8408" s="9" t="str">
        <f>"10140828106"</f>
        <v>10140828106</v>
      </c>
      <c r="B8408" s="10">
        <v>0</v>
      </c>
      <c r="C8408" s="9"/>
      <c r="D8408" s="9">
        <f t="shared" si="131"/>
        <v>0</v>
      </c>
      <c r="E8408" s="11"/>
      <c r="F8408" s="9" t="s">
        <v>7</v>
      </c>
    </row>
    <row r="8409" s="1" customFormat="1" customHeight="1" spans="1:6">
      <c r="A8409" s="9" t="str">
        <f>"10210828107"</f>
        <v>10210828107</v>
      </c>
      <c r="B8409" s="10">
        <v>0</v>
      </c>
      <c r="C8409" s="9"/>
      <c r="D8409" s="9">
        <f t="shared" si="131"/>
        <v>0</v>
      </c>
      <c r="E8409" s="11"/>
      <c r="F8409" s="9" t="s">
        <v>7</v>
      </c>
    </row>
    <row r="8410" s="1" customFormat="1" customHeight="1" spans="1:6">
      <c r="A8410" s="9" t="str">
        <f>"10510828108"</f>
        <v>10510828108</v>
      </c>
      <c r="B8410" s="10">
        <v>34.31</v>
      </c>
      <c r="C8410" s="9"/>
      <c r="D8410" s="9">
        <f t="shared" si="131"/>
        <v>34.31</v>
      </c>
      <c r="E8410" s="11"/>
      <c r="F8410" s="9"/>
    </row>
    <row r="8411" s="1" customFormat="1" customHeight="1" spans="1:6">
      <c r="A8411" s="9" t="str">
        <f>"10360828109"</f>
        <v>10360828109</v>
      </c>
      <c r="B8411" s="10">
        <v>0</v>
      </c>
      <c r="C8411" s="9"/>
      <c r="D8411" s="9">
        <f t="shared" si="131"/>
        <v>0</v>
      </c>
      <c r="E8411" s="11"/>
      <c r="F8411" s="9" t="s">
        <v>7</v>
      </c>
    </row>
    <row r="8412" s="1" customFormat="1" customHeight="1" spans="1:6">
      <c r="A8412" s="9" t="str">
        <f>"10390828110"</f>
        <v>10390828110</v>
      </c>
      <c r="B8412" s="10">
        <v>43.47</v>
      </c>
      <c r="C8412" s="9"/>
      <c r="D8412" s="9">
        <f t="shared" si="131"/>
        <v>43.47</v>
      </c>
      <c r="E8412" s="11"/>
      <c r="F8412" s="9"/>
    </row>
    <row r="8413" s="1" customFormat="1" customHeight="1" spans="1:6">
      <c r="A8413" s="9" t="str">
        <f>"10100828111"</f>
        <v>10100828111</v>
      </c>
      <c r="B8413" s="10">
        <v>51.14</v>
      </c>
      <c r="C8413" s="9"/>
      <c r="D8413" s="9">
        <f t="shared" si="131"/>
        <v>51.14</v>
      </c>
      <c r="E8413" s="11"/>
      <c r="F8413" s="9"/>
    </row>
    <row r="8414" s="1" customFormat="1" customHeight="1" spans="1:6">
      <c r="A8414" s="9" t="str">
        <f>"10300828112"</f>
        <v>10300828112</v>
      </c>
      <c r="B8414" s="10">
        <v>0</v>
      </c>
      <c r="C8414" s="9"/>
      <c r="D8414" s="9">
        <f t="shared" si="131"/>
        <v>0</v>
      </c>
      <c r="E8414" s="11"/>
      <c r="F8414" s="9" t="s">
        <v>7</v>
      </c>
    </row>
    <row r="8415" s="1" customFormat="1" customHeight="1" spans="1:6">
      <c r="A8415" s="9" t="str">
        <f>"10090828113"</f>
        <v>10090828113</v>
      </c>
      <c r="B8415" s="10">
        <v>46.11</v>
      </c>
      <c r="C8415" s="9"/>
      <c r="D8415" s="9">
        <f t="shared" si="131"/>
        <v>46.11</v>
      </c>
      <c r="E8415" s="11"/>
      <c r="F8415" s="9"/>
    </row>
    <row r="8416" s="1" customFormat="1" customHeight="1" spans="1:6">
      <c r="A8416" s="9" t="str">
        <f>"10280828114"</f>
        <v>10280828114</v>
      </c>
      <c r="B8416" s="10">
        <v>38.42</v>
      </c>
      <c r="C8416" s="9"/>
      <c r="D8416" s="9">
        <f t="shared" si="131"/>
        <v>38.42</v>
      </c>
      <c r="E8416" s="11"/>
      <c r="F8416" s="9"/>
    </row>
    <row r="8417" s="1" customFormat="1" customHeight="1" spans="1:6">
      <c r="A8417" s="9" t="str">
        <f>"10020828115"</f>
        <v>10020828115</v>
      </c>
      <c r="B8417" s="10">
        <v>46.73</v>
      </c>
      <c r="C8417" s="9"/>
      <c r="D8417" s="9">
        <f t="shared" si="131"/>
        <v>46.73</v>
      </c>
      <c r="E8417" s="11"/>
      <c r="F8417" s="9"/>
    </row>
    <row r="8418" s="1" customFormat="1" customHeight="1" spans="1:6">
      <c r="A8418" s="9" t="str">
        <f>"10360828116"</f>
        <v>10360828116</v>
      </c>
      <c r="B8418" s="10">
        <v>40.55</v>
      </c>
      <c r="C8418" s="9"/>
      <c r="D8418" s="9">
        <f t="shared" si="131"/>
        <v>40.55</v>
      </c>
      <c r="E8418" s="11"/>
      <c r="F8418" s="9"/>
    </row>
    <row r="8419" s="1" customFormat="1" customHeight="1" spans="1:6">
      <c r="A8419" s="9" t="str">
        <f>"10010828117"</f>
        <v>10010828117</v>
      </c>
      <c r="B8419" s="10">
        <v>43.74</v>
      </c>
      <c r="C8419" s="9"/>
      <c r="D8419" s="9">
        <f t="shared" si="131"/>
        <v>43.74</v>
      </c>
      <c r="E8419" s="11"/>
      <c r="F8419" s="9"/>
    </row>
    <row r="8420" s="1" customFormat="1" customHeight="1" spans="1:6">
      <c r="A8420" s="9" t="str">
        <f>"10230828118"</f>
        <v>10230828118</v>
      </c>
      <c r="B8420" s="10">
        <v>0</v>
      </c>
      <c r="C8420" s="9"/>
      <c r="D8420" s="9">
        <f t="shared" si="131"/>
        <v>0</v>
      </c>
      <c r="E8420" s="11"/>
      <c r="F8420" s="9" t="s">
        <v>7</v>
      </c>
    </row>
    <row r="8421" s="1" customFormat="1" customHeight="1" spans="1:6">
      <c r="A8421" s="9" t="str">
        <f>"10370828119"</f>
        <v>10370828119</v>
      </c>
      <c r="B8421" s="10">
        <v>42.27</v>
      </c>
      <c r="C8421" s="9"/>
      <c r="D8421" s="9">
        <f t="shared" si="131"/>
        <v>42.27</v>
      </c>
      <c r="E8421" s="11"/>
      <c r="F8421" s="9"/>
    </row>
    <row r="8422" s="1" customFormat="1" customHeight="1" spans="1:6">
      <c r="A8422" s="9" t="str">
        <f>"10360828120"</f>
        <v>10360828120</v>
      </c>
      <c r="B8422" s="10">
        <v>44.74</v>
      </c>
      <c r="C8422" s="9"/>
      <c r="D8422" s="9">
        <f t="shared" si="131"/>
        <v>44.74</v>
      </c>
      <c r="E8422" s="11"/>
      <c r="F8422" s="9"/>
    </row>
    <row r="8423" s="1" customFormat="1" customHeight="1" spans="1:6">
      <c r="A8423" s="9" t="str">
        <f>"10110828121"</f>
        <v>10110828121</v>
      </c>
      <c r="B8423" s="10">
        <v>42.69</v>
      </c>
      <c r="C8423" s="9"/>
      <c r="D8423" s="9">
        <f t="shared" si="131"/>
        <v>42.69</v>
      </c>
      <c r="E8423" s="11"/>
      <c r="F8423" s="9"/>
    </row>
    <row r="8424" s="1" customFormat="1" customHeight="1" spans="1:6">
      <c r="A8424" s="9" t="str">
        <f>"10440828122"</f>
        <v>10440828122</v>
      </c>
      <c r="B8424" s="10">
        <v>0</v>
      </c>
      <c r="C8424" s="9"/>
      <c r="D8424" s="9">
        <f t="shared" si="131"/>
        <v>0</v>
      </c>
      <c r="E8424" s="11"/>
      <c r="F8424" s="9" t="s">
        <v>7</v>
      </c>
    </row>
    <row r="8425" s="1" customFormat="1" customHeight="1" spans="1:6">
      <c r="A8425" s="9" t="str">
        <f>"10330828123"</f>
        <v>10330828123</v>
      </c>
      <c r="B8425" s="10">
        <v>35.88</v>
      </c>
      <c r="C8425" s="9"/>
      <c r="D8425" s="9">
        <f t="shared" si="131"/>
        <v>35.88</v>
      </c>
      <c r="E8425" s="11"/>
      <c r="F8425" s="9"/>
    </row>
    <row r="8426" s="1" customFormat="1" customHeight="1" spans="1:6">
      <c r="A8426" s="9" t="str">
        <f>"10360828124"</f>
        <v>10360828124</v>
      </c>
      <c r="B8426" s="10">
        <v>0</v>
      </c>
      <c r="C8426" s="9"/>
      <c r="D8426" s="9">
        <f t="shared" si="131"/>
        <v>0</v>
      </c>
      <c r="E8426" s="11"/>
      <c r="F8426" s="9" t="s">
        <v>7</v>
      </c>
    </row>
    <row r="8427" s="1" customFormat="1" customHeight="1" spans="1:6">
      <c r="A8427" s="9" t="str">
        <f>"10350828125"</f>
        <v>10350828125</v>
      </c>
      <c r="B8427" s="10">
        <v>43.53</v>
      </c>
      <c r="C8427" s="9"/>
      <c r="D8427" s="9">
        <f t="shared" si="131"/>
        <v>43.53</v>
      </c>
      <c r="E8427" s="11"/>
      <c r="F8427" s="9"/>
    </row>
    <row r="8428" s="1" customFormat="1" customHeight="1" spans="1:6">
      <c r="A8428" s="9" t="str">
        <f>"10060828126"</f>
        <v>10060828126</v>
      </c>
      <c r="B8428" s="10">
        <v>35.08</v>
      </c>
      <c r="C8428" s="9"/>
      <c r="D8428" s="9">
        <f t="shared" si="131"/>
        <v>35.08</v>
      </c>
      <c r="E8428" s="11"/>
      <c r="F8428" s="9"/>
    </row>
    <row r="8429" s="1" customFormat="1" customHeight="1" spans="1:6">
      <c r="A8429" s="9" t="str">
        <f>"10210828127"</f>
        <v>10210828127</v>
      </c>
      <c r="B8429" s="10">
        <v>0</v>
      </c>
      <c r="C8429" s="9"/>
      <c r="D8429" s="9">
        <f t="shared" si="131"/>
        <v>0</v>
      </c>
      <c r="E8429" s="11"/>
      <c r="F8429" s="9" t="s">
        <v>7</v>
      </c>
    </row>
    <row r="8430" s="1" customFormat="1" customHeight="1" spans="1:6">
      <c r="A8430" s="9" t="str">
        <f>"10130828128"</f>
        <v>10130828128</v>
      </c>
      <c r="B8430" s="10">
        <v>34.62</v>
      </c>
      <c r="C8430" s="9"/>
      <c r="D8430" s="9">
        <f t="shared" si="131"/>
        <v>34.62</v>
      </c>
      <c r="E8430" s="11"/>
      <c r="F8430" s="9"/>
    </row>
    <row r="8431" s="1" customFormat="1" customHeight="1" spans="1:6">
      <c r="A8431" s="9" t="str">
        <f>"10060828129"</f>
        <v>10060828129</v>
      </c>
      <c r="B8431" s="10">
        <v>37.2</v>
      </c>
      <c r="C8431" s="9"/>
      <c r="D8431" s="9">
        <f t="shared" si="131"/>
        <v>37.2</v>
      </c>
      <c r="E8431" s="11"/>
      <c r="F8431" s="9"/>
    </row>
    <row r="8432" s="1" customFormat="1" customHeight="1" spans="1:6">
      <c r="A8432" s="9" t="str">
        <f>"10370828130"</f>
        <v>10370828130</v>
      </c>
      <c r="B8432" s="10">
        <v>41.11</v>
      </c>
      <c r="C8432" s="9">
        <v>10</v>
      </c>
      <c r="D8432" s="9">
        <f t="shared" si="131"/>
        <v>51.11</v>
      </c>
      <c r="E8432" s="12" t="s">
        <v>8</v>
      </c>
      <c r="F8432" s="9"/>
    </row>
    <row r="8433" s="1" customFormat="1" customHeight="1" spans="1:6">
      <c r="A8433" s="9" t="str">
        <f>"10360828201"</f>
        <v>10360828201</v>
      </c>
      <c r="B8433" s="10">
        <v>0</v>
      </c>
      <c r="C8433" s="9"/>
      <c r="D8433" s="9">
        <f t="shared" si="131"/>
        <v>0</v>
      </c>
      <c r="E8433" s="11"/>
      <c r="F8433" s="9" t="s">
        <v>7</v>
      </c>
    </row>
    <row r="8434" s="1" customFormat="1" customHeight="1" spans="1:6">
      <c r="A8434" s="9" t="str">
        <f>"10080828202"</f>
        <v>10080828202</v>
      </c>
      <c r="B8434" s="10">
        <v>46.29</v>
      </c>
      <c r="C8434" s="9"/>
      <c r="D8434" s="9">
        <f t="shared" si="131"/>
        <v>46.29</v>
      </c>
      <c r="E8434" s="11"/>
      <c r="F8434" s="9"/>
    </row>
    <row r="8435" s="1" customFormat="1" customHeight="1" spans="1:6">
      <c r="A8435" s="9" t="str">
        <f>"10370828203"</f>
        <v>10370828203</v>
      </c>
      <c r="B8435" s="10">
        <v>36.74</v>
      </c>
      <c r="C8435" s="9"/>
      <c r="D8435" s="9">
        <f t="shared" si="131"/>
        <v>36.74</v>
      </c>
      <c r="E8435" s="11"/>
      <c r="F8435" s="9"/>
    </row>
    <row r="8436" s="1" customFormat="1" customHeight="1" spans="1:6">
      <c r="A8436" s="9" t="str">
        <f>"10510828204"</f>
        <v>10510828204</v>
      </c>
      <c r="B8436" s="10">
        <v>36.24</v>
      </c>
      <c r="C8436" s="9">
        <v>10</v>
      </c>
      <c r="D8436" s="9">
        <f t="shared" si="131"/>
        <v>46.24</v>
      </c>
      <c r="E8436" s="12" t="s">
        <v>8</v>
      </c>
      <c r="F8436" s="9"/>
    </row>
    <row r="8437" s="1" customFormat="1" customHeight="1" spans="1:6">
      <c r="A8437" s="9" t="str">
        <f>"10060828205"</f>
        <v>10060828205</v>
      </c>
      <c r="B8437" s="10">
        <v>42.02</v>
      </c>
      <c r="C8437" s="9"/>
      <c r="D8437" s="9">
        <f t="shared" si="131"/>
        <v>42.02</v>
      </c>
      <c r="E8437" s="11"/>
      <c r="F8437" s="9"/>
    </row>
    <row r="8438" s="1" customFormat="1" customHeight="1" spans="1:6">
      <c r="A8438" s="9" t="str">
        <f>"10450828206"</f>
        <v>10450828206</v>
      </c>
      <c r="B8438" s="10">
        <v>0</v>
      </c>
      <c r="C8438" s="9"/>
      <c r="D8438" s="9">
        <f t="shared" si="131"/>
        <v>0</v>
      </c>
      <c r="E8438" s="11"/>
      <c r="F8438" s="9" t="s">
        <v>7</v>
      </c>
    </row>
    <row r="8439" s="1" customFormat="1" customHeight="1" spans="1:6">
      <c r="A8439" s="9" t="str">
        <f>"10530828207"</f>
        <v>10530828207</v>
      </c>
      <c r="B8439" s="10">
        <v>39.24</v>
      </c>
      <c r="C8439" s="9"/>
      <c r="D8439" s="9">
        <f t="shared" si="131"/>
        <v>39.24</v>
      </c>
      <c r="E8439" s="11"/>
      <c r="F8439" s="9"/>
    </row>
    <row r="8440" s="1" customFormat="1" customHeight="1" spans="1:6">
      <c r="A8440" s="9" t="str">
        <f>"10410828208"</f>
        <v>10410828208</v>
      </c>
      <c r="B8440" s="10">
        <v>41.12</v>
      </c>
      <c r="C8440" s="9"/>
      <c r="D8440" s="9">
        <f t="shared" si="131"/>
        <v>41.12</v>
      </c>
      <c r="E8440" s="11"/>
      <c r="F8440" s="9"/>
    </row>
    <row r="8441" s="1" customFormat="1" customHeight="1" spans="1:6">
      <c r="A8441" s="9" t="str">
        <f>"10040828209"</f>
        <v>10040828209</v>
      </c>
      <c r="B8441" s="10">
        <v>43.69</v>
      </c>
      <c r="C8441" s="9"/>
      <c r="D8441" s="9">
        <f t="shared" si="131"/>
        <v>43.69</v>
      </c>
      <c r="E8441" s="11"/>
      <c r="F8441" s="9"/>
    </row>
    <row r="8442" s="1" customFormat="1" customHeight="1" spans="1:6">
      <c r="A8442" s="9" t="str">
        <f>"10330828210"</f>
        <v>10330828210</v>
      </c>
      <c r="B8442" s="10">
        <v>35.96</v>
      </c>
      <c r="C8442" s="9"/>
      <c r="D8442" s="9">
        <f t="shared" si="131"/>
        <v>35.96</v>
      </c>
      <c r="E8442" s="11"/>
      <c r="F8442" s="9"/>
    </row>
    <row r="8443" s="1" customFormat="1" customHeight="1" spans="1:6">
      <c r="A8443" s="9" t="str">
        <f>"10290828211"</f>
        <v>10290828211</v>
      </c>
      <c r="B8443" s="10">
        <v>43</v>
      </c>
      <c r="C8443" s="9"/>
      <c r="D8443" s="9">
        <f t="shared" si="131"/>
        <v>43</v>
      </c>
      <c r="E8443" s="11"/>
      <c r="F8443" s="9"/>
    </row>
    <row r="8444" s="1" customFormat="1" customHeight="1" spans="1:6">
      <c r="A8444" s="9" t="str">
        <f>"10380828212"</f>
        <v>10380828212</v>
      </c>
      <c r="B8444" s="10">
        <v>46.62</v>
      </c>
      <c r="C8444" s="9"/>
      <c r="D8444" s="9">
        <f t="shared" si="131"/>
        <v>46.62</v>
      </c>
      <c r="E8444" s="11"/>
      <c r="F8444" s="9"/>
    </row>
    <row r="8445" s="1" customFormat="1" customHeight="1" spans="1:6">
      <c r="A8445" s="9" t="str">
        <f>"10410828213"</f>
        <v>10410828213</v>
      </c>
      <c r="B8445" s="10">
        <v>0</v>
      </c>
      <c r="C8445" s="9"/>
      <c r="D8445" s="9">
        <f t="shared" si="131"/>
        <v>0</v>
      </c>
      <c r="E8445" s="11"/>
      <c r="F8445" s="9" t="s">
        <v>7</v>
      </c>
    </row>
    <row r="8446" s="1" customFormat="1" customHeight="1" spans="1:6">
      <c r="A8446" s="9" t="str">
        <f>"10360828214"</f>
        <v>10360828214</v>
      </c>
      <c r="B8446" s="10">
        <v>44.2</v>
      </c>
      <c r="C8446" s="9"/>
      <c r="D8446" s="9">
        <f t="shared" si="131"/>
        <v>44.2</v>
      </c>
      <c r="E8446" s="11"/>
      <c r="F8446" s="9"/>
    </row>
    <row r="8447" s="1" customFormat="1" customHeight="1" spans="1:6">
      <c r="A8447" s="9" t="str">
        <f>"10410828215"</f>
        <v>10410828215</v>
      </c>
      <c r="B8447" s="10">
        <v>45.94</v>
      </c>
      <c r="C8447" s="9"/>
      <c r="D8447" s="9">
        <f t="shared" si="131"/>
        <v>45.94</v>
      </c>
      <c r="E8447" s="11"/>
      <c r="F8447" s="9"/>
    </row>
    <row r="8448" s="1" customFormat="1" customHeight="1" spans="1:6">
      <c r="A8448" s="9" t="str">
        <f>"10020828216"</f>
        <v>10020828216</v>
      </c>
      <c r="B8448" s="10">
        <v>35.29</v>
      </c>
      <c r="C8448" s="9"/>
      <c r="D8448" s="9">
        <f t="shared" si="131"/>
        <v>35.29</v>
      </c>
      <c r="E8448" s="11"/>
      <c r="F8448" s="9"/>
    </row>
    <row r="8449" s="1" customFormat="1" customHeight="1" spans="1:6">
      <c r="A8449" s="9" t="str">
        <f>"10330828217"</f>
        <v>10330828217</v>
      </c>
      <c r="B8449" s="10">
        <v>40.79</v>
      </c>
      <c r="C8449" s="9"/>
      <c r="D8449" s="9">
        <f t="shared" si="131"/>
        <v>40.79</v>
      </c>
      <c r="E8449" s="11"/>
      <c r="F8449" s="9"/>
    </row>
    <row r="8450" s="1" customFormat="1" customHeight="1" spans="1:6">
      <c r="A8450" s="9" t="str">
        <f>"10330828218"</f>
        <v>10330828218</v>
      </c>
      <c r="B8450" s="10">
        <v>34.78</v>
      </c>
      <c r="C8450" s="9"/>
      <c r="D8450" s="9">
        <f t="shared" si="131"/>
        <v>34.78</v>
      </c>
      <c r="E8450" s="11"/>
      <c r="F8450" s="9"/>
    </row>
    <row r="8451" s="1" customFormat="1" customHeight="1" spans="1:6">
      <c r="A8451" s="9" t="str">
        <f>"10160828219"</f>
        <v>10160828219</v>
      </c>
      <c r="B8451" s="10">
        <v>0</v>
      </c>
      <c r="C8451" s="9"/>
      <c r="D8451" s="9">
        <f t="shared" ref="D8451:D8514" si="132">SUM(B8451:C8451)</f>
        <v>0</v>
      </c>
      <c r="E8451" s="11"/>
      <c r="F8451" s="9" t="s">
        <v>7</v>
      </c>
    </row>
    <row r="8452" s="1" customFormat="1" customHeight="1" spans="1:6">
      <c r="A8452" s="9" t="str">
        <f>"10080828220"</f>
        <v>10080828220</v>
      </c>
      <c r="B8452" s="10">
        <v>48.33</v>
      </c>
      <c r="C8452" s="9"/>
      <c r="D8452" s="9">
        <f t="shared" si="132"/>
        <v>48.33</v>
      </c>
      <c r="E8452" s="11"/>
      <c r="F8452" s="9"/>
    </row>
    <row r="8453" s="1" customFormat="1" customHeight="1" spans="1:6">
      <c r="A8453" s="9" t="str">
        <f>"10060828221"</f>
        <v>10060828221</v>
      </c>
      <c r="B8453" s="10">
        <v>0</v>
      </c>
      <c r="C8453" s="9"/>
      <c r="D8453" s="9">
        <f t="shared" si="132"/>
        <v>0</v>
      </c>
      <c r="E8453" s="11"/>
      <c r="F8453" s="9" t="s">
        <v>7</v>
      </c>
    </row>
    <row r="8454" s="1" customFormat="1" customHeight="1" spans="1:6">
      <c r="A8454" s="9" t="str">
        <f>"10510828222"</f>
        <v>10510828222</v>
      </c>
      <c r="B8454" s="10">
        <v>48.41</v>
      </c>
      <c r="C8454" s="9"/>
      <c r="D8454" s="9">
        <f t="shared" si="132"/>
        <v>48.41</v>
      </c>
      <c r="E8454" s="11"/>
      <c r="F8454" s="9"/>
    </row>
    <row r="8455" s="1" customFormat="1" customHeight="1" spans="1:6">
      <c r="A8455" s="9" t="str">
        <f>"10200828223"</f>
        <v>10200828223</v>
      </c>
      <c r="B8455" s="10">
        <v>39.27</v>
      </c>
      <c r="C8455" s="9"/>
      <c r="D8455" s="9">
        <f t="shared" si="132"/>
        <v>39.27</v>
      </c>
      <c r="E8455" s="11"/>
      <c r="F8455" s="9"/>
    </row>
    <row r="8456" s="1" customFormat="1" customHeight="1" spans="1:6">
      <c r="A8456" s="9" t="str">
        <f>"10060828224"</f>
        <v>10060828224</v>
      </c>
      <c r="B8456" s="10">
        <v>30.47</v>
      </c>
      <c r="C8456" s="9"/>
      <c r="D8456" s="9">
        <f t="shared" si="132"/>
        <v>30.47</v>
      </c>
      <c r="E8456" s="11"/>
      <c r="F8456" s="9"/>
    </row>
    <row r="8457" s="1" customFormat="1" customHeight="1" spans="1:6">
      <c r="A8457" s="9" t="str">
        <f>"10060828225"</f>
        <v>10060828225</v>
      </c>
      <c r="B8457" s="10">
        <v>41.83</v>
      </c>
      <c r="C8457" s="9"/>
      <c r="D8457" s="9">
        <f t="shared" si="132"/>
        <v>41.83</v>
      </c>
      <c r="E8457" s="11"/>
      <c r="F8457" s="9"/>
    </row>
    <row r="8458" s="1" customFormat="1" customHeight="1" spans="1:6">
      <c r="A8458" s="9" t="str">
        <f>"10270828226"</f>
        <v>10270828226</v>
      </c>
      <c r="B8458" s="10">
        <v>75.94</v>
      </c>
      <c r="C8458" s="9"/>
      <c r="D8458" s="9">
        <f t="shared" si="132"/>
        <v>75.94</v>
      </c>
      <c r="E8458" s="11"/>
      <c r="F8458" s="9"/>
    </row>
    <row r="8459" s="1" customFormat="1" customHeight="1" spans="1:6">
      <c r="A8459" s="9" t="str">
        <f>"10120828227"</f>
        <v>10120828227</v>
      </c>
      <c r="B8459" s="10">
        <v>0</v>
      </c>
      <c r="C8459" s="9"/>
      <c r="D8459" s="9">
        <f t="shared" si="132"/>
        <v>0</v>
      </c>
      <c r="E8459" s="11"/>
      <c r="F8459" s="9" t="s">
        <v>7</v>
      </c>
    </row>
    <row r="8460" s="1" customFormat="1" customHeight="1" spans="1:6">
      <c r="A8460" s="9" t="str">
        <f>"10280828228"</f>
        <v>10280828228</v>
      </c>
      <c r="B8460" s="10">
        <v>45.12</v>
      </c>
      <c r="C8460" s="9"/>
      <c r="D8460" s="9">
        <f t="shared" si="132"/>
        <v>45.12</v>
      </c>
      <c r="E8460" s="11"/>
      <c r="F8460" s="9"/>
    </row>
    <row r="8461" s="1" customFormat="1" customHeight="1" spans="1:6">
      <c r="A8461" s="9" t="str">
        <f>"10240828229"</f>
        <v>10240828229</v>
      </c>
      <c r="B8461" s="10">
        <v>36.27</v>
      </c>
      <c r="C8461" s="9"/>
      <c r="D8461" s="9">
        <f t="shared" si="132"/>
        <v>36.27</v>
      </c>
      <c r="E8461" s="11"/>
      <c r="F8461" s="9"/>
    </row>
    <row r="8462" s="1" customFormat="1" customHeight="1" spans="1:6">
      <c r="A8462" s="9" t="str">
        <f>"10120828230"</f>
        <v>10120828230</v>
      </c>
      <c r="B8462" s="10">
        <v>44.76</v>
      </c>
      <c r="C8462" s="9"/>
      <c r="D8462" s="9">
        <f t="shared" si="132"/>
        <v>44.76</v>
      </c>
      <c r="E8462" s="11"/>
      <c r="F8462" s="9"/>
    </row>
    <row r="8463" s="1" customFormat="1" customHeight="1" spans="1:6">
      <c r="A8463" s="9" t="str">
        <f>"10490828301"</f>
        <v>10490828301</v>
      </c>
      <c r="B8463" s="10">
        <v>45.6</v>
      </c>
      <c r="C8463" s="9"/>
      <c r="D8463" s="9">
        <f t="shared" si="132"/>
        <v>45.6</v>
      </c>
      <c r="E8463" s="11"/>
      <c r="F8463" s="9"/>
    </row>
    <row r="8464" s="1" customFormat="1" customHeight="1" spans="1:6">
      <c r="A8464" s="9" t="str">
        <f>"10140828302"</f>
        <v>10140828302</v>
      </c>
      <c r="B8464" s="10">
        <v>43.24</v>
      </c>
      <c r="C8464" s="9"/>
      <c r="D8464" s="9">
        <f t="shared" si="132"/>
        <v>43.24</v>
      </c>
      <c r="E8464" s="11"/>
      <c r="F8464" s="9"/>
    </row>
    <row r="8465" s="1" customFormat="1" customHeight="1" spans="1:6">
      <c r="A8465" s="9" t="str">
        <f>"10100828303"</f>
        <v>10100828303</v>
      </c>
      <c r="B8465" s="10">
        <v>41.43</v>
      </c>
      <c r="C8465" s="9"/>
      <c r="D8465" s="9">
        <f t="shared" si="132"/>
        <v>41.43</v>
      </c>
      <c r="E8465" s="11"/>
      <c r="F8465" s="9"/>
    </row>
    <row r="8466" s="1" customFormat="1" customHeight="1" spans="1:6">
      <c r="A8466" s="9" t="str">
        <f>"10360828304"</f>
        <v>10360828304</v>
      </c>
      <c r="B8466" s="10">
        <v>30.81</v>
      </c>
      <c r="C8466" s="9"/>
      <c r="D8466" s="9">
        <f t="shared" si="132"/>
        <v>30.81</v>
      </c>
      <c r="E8466" s="11"/>
      <c r="F8466" s="9"/>
    </row>
    <row r="8467" s="1" customFormat="1" customHeight="1" spans="1:6">
      <c r="A8467" s="9" t="str">
        <f>"10440828305"</f>
        <v>10440828305</v>
      </c>
      <c r="B8467" s="10">
        <v>48.73</v>
      </c>
      <c r="C8467" s="9"/>
      <c r="D8467" s="9">
        <f t="shared" si="132"/>
        <v>48.73</v>
      </c>
      <c r="E8467" s="11"/>
      <c r="F8467" s="9"/>
    </row>
    <row r="8468" s="1" customFormat="1" customHeight="1" spans="1:6">
      <c r="A8468" s="9" t="str">
        <f>"10070828306"</f>
        <v>10070828306</v>
      </c>
      <c r="B8468" s="10">
        <v>48.31</v>
      </c>
      <c r="C8468" s="9"/>
      <c r="D8468" s="9">
        <f t="shared" si="132"/>
        <v>48.31</v>
      </c>
      <c r="E8468" s="11"/>
      <c r="F8468" s="9"/>
    </row>
    <row r="8469" s="1" customFormat="1" customHeight="1" spans="1:6">
      <c r="A8469" s="9" t="str">
        <f>"10020828307"</f>
        <v>10020828307</v>
      </c>
      <c r="B8469" s="10">
        <v>0</v>
      </c>
      <c r="C8469" s="9"/>
      <c r="D8469" s="9">
        <f t="shared" si="132"/>
        <v>0</v>
      </c>
      <c r="E8469" s="11"/>
      <c r="F8469" s="9" t="s">
        <v>7</v>
      </c>
    </row>
    <row r="8470" s="1" customFormat="1" customHeight="1" spans="1:6">
      <c r="A8470" s="9" t="str">
        <f>"10040828308"</f>
        <v>10040828308</v>
      </c>
      <c r="B8470" s="10">
        <v>48.55</v>
      </c>
      <c r="C8470" s="9"/>
      <c r="D8470" s="9">
        <f t="shared" si="132"/>
        <v>48.55</v>
      </c>
      <c r="E8470" s="11"/>
      <c r="F8470" s="9"/>
    </row>
    <row r="8471" s="1" customFormat="1" customHeight="1" spans="1:6">
      <c r="A8471" s="9" t="str">
        <f>"10130828309"</f>
        <v>10130828309</v>
      </c>
      <c r="B8471" s="10">
        <v>0</v>
      </c>
      <c r="C8471" s="9"/>
      <c r="D8471" s="9">
        <f t="shared" si="132"/>
        <v>0</v>
      </c>
      <c r="E8471" s="11"/>
      <c r="F8471" s="9" t="s">
        <v>7</v>
      </c>
    </row>
    <row r="8472" s="1" customFormat="1" customHeight="1" spans="1:6">
      <c r="A8472" s="9" t="str">
        <f>"10340828310"</f>
        <v>10340828310</v>
      </c>
      <c r="B8472" s="10">
        <v>38.71</v>
      </c>
      <c r="C8472" s="9"/>
      <c r="D8472" s="9">
        <f t="shared" si="132"/>
        <v>38.71</v>
      </c>
      <c r="E8472" s="11"/>
      <c r="F8472" s="9"/>
    </row>
    <row r="8473" s="1" customFormat="1" customHeight="1" spans="1:6">
      <c r="A8473" s="9" t="str">
        <f>"10260828311"</f>
        <v>10260828311</v>
      </c>
      <c r="B8473" s="10">
        <v>23</v>
      </c>
      <c r="C8473" s="9"/>
      <c r="D8473" s="9">
        <f t="shared" si="132"/>
        <v>23</v>
      </c>
      <c r="E8473" s="11"/>
      <c r="F8473" s="9"/>
    </row>
    <row r="8474" s="1" customFormat="1" customHeight="1" spans="1:6">
      <c r="A8474" s="9" t="str">
        <f>"10180828312"</f>
        <v>10180828312</v>
      </c>
      <c r="B8474" s="10">
        <v>36.33</v>
      </c>
      <c r="C8474" s="9"/>
      <c r="D8474" s="9">
        <f t="shared" si="132"/>
        <v>36.33</v>
      </c>
      <c r="E8474" s="11"/>
      <c r="F8474" s="9"/>
    </row>
    <row r="8475" s="1" customFormat="1" customHeight="1" spans="1:6">
      <c r="A8475" s="9" t="str">
        <f>"10530828313"</f>
        <v>10530828313</v>
      </c>
      <c r="B8475" s="10">
        <v>46.79</v>
      </c>
      <c r="C8475" s="9"/>
      <c r="D8475" s="9">
        <f t="shared" si="132"/>
        <v>46.79</v>
      </c>
      <c r="E8475" s="11"/>
      <c r="F8475" s="9"/>
    </row>
    <row r="8476" s="1" customFormat="1" customHeight="1" spans="1:6">
      <c r="A8476" s="9" t="str">
        <f>"10360828314"</f>
        <v>10360828314</v>
      </c>
      <c r="B8476" s="10">
        <v>0</v>
      </c>
      <c r="C8476" s="9"/>
      <c r="D8476" s="9">
        <f t="shared" si="132"/>
        <v>0</v>
      </c>
      <c r="E8476" s="11"/>
      <c r="F8476" s="9" t="s">
        <v>7</v>
      </c>
    </row>
    <row r="8477" s="1" customFormat="1" customHeight="1" spans="1:6">
      <c r="A8477" s="9" t="str">
        <f>"10300828315"</f>
        <v>10300828315</v>
      </c>
      <c r="B8477" s="10">
        <v>46.71</v>
      </c>
      <c r="C8477" s="9"/>
      <c r="D8477" s="9">
        <f t="shared" si="132"/>
        <v>46.71</v>
      </c>
      <c r="E8477" s="11"/>
      <c r="F8477" s="9"/>
    </row>
    <row r="8478" s="1" customFormat="1" customHeight="1" spans="1:6">
      <c r="A8478" s="9" t="str">
        <f>"10270828316"</f>
        <v>10270828316</v>
      </c>
      <c r="B8478" s="10">
        <v>39.75</v>
      </c>
      <c r="C8478" s="9"/>
      <c r="D8478" s="9">
        <f t="shared" si="132"/>
        <v>39.75</v>
      </c>
      <c r="E8478" s="11"/>
      <c r="F8478" s="9"/>
    </row>
    <row r="8479" s="1" customFormat="1" customHeight="1" spans="1:6">
      <c r="A8479" s="9" t="str">
        <f>"20270828317"</f>
        <v>20270828317</v>
      </c>
      <c r="B8479" s="10">
        <v>44.35</v>
      </c>
      <c r="C8479" s="9"/>
      <c r="D8479" s="9">
        <f t="shared" si="132"/>
        <v>44.35</v>
      </c>
      <c r="E8479" s="11"/>
      <c r="F8479" s="9"/>
    </row>
    <row r="8480" s="1" customFormat="1" customHeight="1" spans="1:6">
      <c r="A8480" s="9" t="str">
        <f>"10100828318"</f>
        <v>10100828318</v>
      </c>
      <c r="B8480" s="10">
        <v>33</v>
      </c>
      <c r="C8480" s="9"/>
      <c r="D8480" s="9">
        <f t="shared" si="132"/>
        <v>33</v>
      </c>
      <c r="E8480" s="11"/>
      <c r="F8480" s="9"/>
    </row>
    <row r="8481" s="1" customFormat="1" customHeight="1" spans="1:6">
      <c r="A8481" s="9" t="str">
        <f>"10090828319"</f>
        <v>10090828319</v>
      </c>
      <c r="B8481" s="10">
        <v>0</v>
      </c>
      <c r="C8481" s="9"/>
      <c r="D8481" s="9">
        <f t="shared" si="132"/>
        <v>0</v>
      </c>
      <c r="E8481" s="11"/>
      <c r="F8481" s="9" t="s">
        <v>7</v>
      </c>
    </row>
    <row r="8482" s="1" customFormat="1" customHeight="1" spans="1:6">
      <c r="A8482" s="9" t="str">
        <f>"10360828320"</f>
        <v>10360828320</v>
      </c>
      <c r="B8482" s="10">
        <v>40.74</v>
      </c>
      <c r="C8482" s="9"/>
      <c r="D8482" s="9">
        <f t="shared" si="132"/>
        <v>40.74</v>
      </c>
      <c r="E8482" s="11"/>
      <c r="F8482" s="9"/>
    </row>
    <row r="8483" s="1" customFormat="1" customHeight="1" spans="1:6">
      <c r="A8483" s="9" t="str">
        <f>"10360828321"</f>
        <v>10360828321</v>
      </c>
      <c r="B8483" s="10">
        <v>29.25</v>
      </c>
      <c r="C8483" s="9"/>
      <c r="D8483" s="9">
        <f t="shared" si="132"/>
        <v>29.25</v>
      </c>
      <c r="E8483" s="11"/>
      <c r="F8483" s="9"/>
    </row>
    <row r="8484" s="1" customFormat="1" customHeight="1" spans="1:6">
      <c r="A8484" s="9" t="str">
        <f>"10500828322"</f>
        <v>10500828322</v>
      </c>
      <c r="B8484" s="10">
        <v>0</v>
      </c>
      <c r="C8484" s="9"/>
      <c r="D8484" s="9">
        <f t="shared" si="132"/>
        <v>0</v>
      </c>
      <c r="E8484" s="11"/>
      <c r="F8484" s="9" t="s">
        <v>7</v>
      </c>
    </row>
    <row r="8485" s="1" customFormat="1" customHeight="1" spans="1:6">
      <c r="A8485" s="9" t="str">
        <f>"10530828323"</f>
        <v>10530828323</v>
      </c>
      <c r="B8485" s="10">
        <v>0</v>
      </c>
      <c r="C8485" s="9"/>
      <c r="D8485" s="9">
        <f t="shared" si="132"/>
        <v>0</v>
      </c>
      <c r="E8485" s="11"/>
      <c r="F8485" s="9" t="s">
        <v>7</v>
      </c>
    </row>
    <row r="8486" s="1" customFormat="1" customHeight="1" spans="1:6">
      <c r="A8486" s="9" t="str">
        <f>"10090828324"</f>
        <v>10090828324</v>
      </c>
      <c r="B8486" s="10">
        <v>46.94</v>
      </c>
      <c r="C8486" s="9"/>
      <c r="D8486" s="9">
        <f t="shared" si="132"/>
        <v>46.94</v>
      </c>
      <c r="E8486" s="11"/>
      <c r="F8486" s="9"/>
    </row>
    <row r="8487" s="1" customFormat="1" customHeight="1" spans="1:6">
      <c r="A8487" s="9" t="str">
        <f>"10360828325"</f>
        <v>10360828325</v>
      </c>
      <c r="B8487" s="10">
        <v>30.09</v>
      </c>
      <c r="C8487" s="9"/>
      <c r="D8487" s="9">
        <f t="shared" si="132"/>
        <v>30.09</v>
      </c>
      <c r="E8487" s="11"/>
      <c r="F8487" s="9"/>
    </row>
    <row r="8488" s="1" customFormat="1" customHeight="1" spans="1:6">
      <c r="A8488" s="9" t="str">
        <f>"10360828326"</f>
        <v>10360828326</v>
      </c>
      <c r="B8488" s="10">
        <v>37.41</v>
      </c>
      <c r="C8488" s="9"/>
      <c r="D8488" s="9">
        <f t="shared" si="132"/>
        <v>37.41</v>
      </c>
      <c r="E8488" s="11"/>
      <c r="F8488" s="9"/>
    </row>
    <row r="8489" s="1" customFormat="1" customHeight="1" spans="1:6">
      <c r="A8489" s="9" t="str">
        <f>"10060828327"</f>
        <v>10060828327</v>
      </c>
      <c r="B8489" s="10">
        <v>48.56</v>
      </c>
      <c r="C8489" s="9"/>
      <c r="D8489" s="9">
        <f t="shared" si="132"/>
        <v>48.56</v>
      </c>
      <c r="E8489" s="11"/>
      <c r="F8489" s="9"/>
    </row>
    <row r="8490" s="1" customFormat="1" customHeight="1" spans="1:6">
      <c r="A8490" s="9" t="str">
        <f>"10360828328"</f>
        <v>10360828328</v>
      </c>
      <c r="B8490" s="10">
        <v>29.53</v>
      </c>
      <c r="C8490" s="9"/>
      <c r="D8490" s="9">
        <f t="shared" si="132"/>
        <v>29.53</v>
      </c>
      <c r="E8490" s="11"/>
      <c r="F8490" s="9"/>
    </row>
    <row r="8491" s="1" customFormat="1" customHeight="1" spans="1:6">
      <c r="A8491" s="9" t="str">
        <f>"10360828329"</f>
        <v>10360828329</v>
      </c>
      <c r="B8491" s="10">
        <v>41.37</v>
      </c>
      <c r="C8491" s="9"/>
      <c r="D8491" s="9">
        <f t="shared" si="132"/>
        <v>41.37</v>
      </c>
      <c r="E8491" s="11"/>
      <c r="F8491" s="9"/>
    </row>
    <row r="8492" s="1" customFormat="1" customHeight="1" spans="1:6">
      <c r="A8492" s="9" t="str">
        <f>"10530828330"</f>
        <v>10530828330</v>
      </c>
      <c r="B8492" s="10">
        <v>0</v>
      </c>
      <c r="C8492" s="9"/>
      <c r="D8492" s="9">
        <f t="shared" si="132"/>
        <v>0</v>
      </c>
      <c r="E8492" s="11"/>
      <c r="F8492" s="9" t="s">
        <v>7</v>
      </c>
    </row>
    <row r="8493" s="1" customFormat="1" customHeight="1" spans="1:6">
      <c r="A8493" s="9" t="str">
        <f>"10360828401"</f>
        <v>10360828401</v>
      </c>
      <c r="B8493" s="10">
        <v>43.38</v>
      </c>
      <c r="C8493" s="9"/>
      <c r="D8493" s="9">
        <f t="shared" si="132"/>
        <v>43.38</v>
      </c>
      <c r="E8493" s="11"/>
      <c r="F8493" s="9"/>
    </row>
    <row r="8494" s="1" customFormat="1" customHeight="1" spans="1:6">
      <c r="A8494" s="9" t="str">
        <f>"10200828402"</f>
        <v>10200828402</v>
      </c>
      <c r="B8494" s="10">
        <v>0</v>
      </c>
      <c r="C8494" s="9"/>
      <c r="D8494" s="9">
        <f t="shared" si="132"/>
        <v>0</v>
      </c>
      <c r="E8494" s="11"/>
      <c r="F8494" s="9" t="s">
        <v>7</v>
      </c>
    </row>
    <row r="8495" s="1" customFormat="1" customHeight="1" spans="1:6">
      <c r="A8495" s="9" t="str">
        <f>"10360828403"</f>
        <v>10360828403</v>
      </c>
      <c r="B8495" s="10">
        <v>45.86</v>
      </c>
      <c r="C8495" s="9"/>
      <c r="D8495" s="9">
        <f t="shared" si="132"/>
        <v>45.86</v>
      </c>
      <c r="E8495" s="11"/>
      <c r="F8495" s="9"/>
    </row>
    <row r="8496" s="1" customFormat="1" customHeight="1" spans="1:6">
      <c r="A8496" s="9" t="str">
        <f>"10370828404"</f>
        <v>10370828404</v>
      </c>
      <c r="B8496" s="10">
        <v>0</v>
      </c>
      <c r="C8496" s="9"/>
      <c r="D8496" s="9">
        <f t="shared" si="132"/>
        <v>0</v>
      </c>
      <c r="E8496" s="11"/>
      <c r="F8496" s="9" t="s">
        <v>7</v>
      </c>
    </row>
    <row r="8497" s="1" customFormat="1" customHeight="1" spans="1:6">
      <c r="A8497" s="9" t="str">
        <f>"10140828405"</f>
        <v>10140828405</v>
      </c>
      <c r="B8497" s="10">
        <v>32.11</v>
      </c>
      <c r="C8497" s="9"/>
      <c r="D8497" s="9">
        <f t="shared" si="132"/>
        <v>32.11</v>
      </c>
      <c r="E8497" s="11"/>
      <c r="F8497" s="9"/>
    </row>
    <row r="8498" s="1" customFormat="1" customHeight="1" spans="1:6">
      <c r="A8498" s="9" t="str">
        <f>"10110828406"</f>
        <v>10110828406</v>
      </c>
      <c r="B8498" s="10">
        <v>41.83</v>
      </c>
      <c r="C8498" s="9"/>
      <c r="D8498" s="9">
        <f t="shared" si="132"/>
        <v>41.83</v>
      </c>
      <c r="E8498" s="11"/>
      <c r="F8498" s="9"/>
    </row>
    <row r="8499" s="1" customFormat="1" customHeight="1" spans="1:6">
      <c r="A8499" s="9" t="str">
        <f>"10440828407"</f>
        <v>10440828407</v>
      </c>
      <c r="B8499" s="10">
        <v>57.18</v>
      </c>
      <c r="C8499" s="9"/>
      <c r="D8499" s="9">
        <f t="shared" si="132"/>
        <v>57.18</v>
      </c>
      <c r="E8499" s="11"/>
      <c r="F8499" s="9"/>
    </row>
    <row r="8500" s="1" customFormat="1" customHeight="1" spans="1:6">
      <c r="A8500" s="9" t="str">
        <f>"10530828408"</f>
        <v>10530828408</v>
      </c>
      <c r="B8500" s="10">
        <v>0</v>
      </c>
      <c r="C8500" s="9"/>
      <c r="D8500" s="9">
        <f t="shared" si="132"/>
        <v>0</v>
      </c>
      <c r="E8500" s="11"/>
      <c r="F8500" s="9" t="s">
        <v>7</v>
      </c>
    </row>
    <row r="8501" s="1" customFormat="1" customHeight="1" spans="1:6">
      <c r="A8501" s="9" t="str">
        <f>"10360828409"</f>
        <v>10360828409</v>
      </c>
      <c r="B8501" s="10">
        <v>28.02</v>
      </c>
      <c r="C8501" s="9"/>
      <c r="D8501" s="9">
        <f t="shared" si="132"/>
        <v>28.02</v>
      </c>
      <c r="E8501" s="11"/>
      <c r="F8501" s="9"/>
    </row>
    <row r="8502" s="1" customFormat="1" customHeight="1" spans="1:6">
      <c r="A8502" s="9" t="str">
        <f>"10400828410"</f>
        <v>10400828410</v>
      </c>
      <c r="B8502" s="10">
        <v>31.05</v>
      </c>
      <c r="C8502" s="9"/>
      <c r="D8502" s="9">
        <f t="shared" si="132"/>
        <v>31.05</v>
      </c>
      <c r="E8502" s="11"/>
      <c r="F8502" s="9"/>
    </row>
    <row r="8503" s="1" customFormat="1" customHeight="1" spans="1:6">
      <c r="A8503" s="9" t="str">
        <f>"10210828411"</f>
        <v>10210828411</v>
      </c>
      <c r="B8503" s="10">
        <v>42.14</v>
      </c>
      <c r="C8503" s="9"/>
      <c r="D8503" s="9">
        <f t="shared" si="132"/>
        <v>42.14</v>
      </c>
      <c r="E8503" s="11"/>
      <c r="F8503" s="9"/>
    </row>
    <row r="8504" s="1" customFormat="1" customHeight="1" spans="1:6">
      <c r="A8504" s="9" t="str">
        <f>"10320828412"</f>
        <v>10320828412</v>
      </c>
      <c r="B8504" s="10">
        <v>0</v>
      </c>
      <c r="C8504" s="9"/>
      <c r="D8504" s="9">
        <f t="shared" si="132"/>
        <v>0</v>
      </c>
      <c r="E8504" s="11"/>
      <c r="F8504" s="9" t="s">
        <v>7</v>
      </c>
    </row>
    <row r="8505" s="1" customFormat="1" customHeight="1" spans="1:6">
      <c r="A8505" s="9" t="str">
        <f>"10360828413"</f>
        <v>10360828413</v>
      </c>
      <c r="B8505" s="10">
        <v>39.63</v>
      </c>
      <c r="C8505" s="9">
        <v>10</v>
      </c>
      <c r="D8505" s="9">
        <f t="shared" si="132"/>
        <v>49.63</v>
      </c>
      <c r="E8505" s="12" t="s">
        <v>8</v>
      </c>
      <c r="F8505" s="9"/>
    </row>
    <row r="8506" s="1" customFormat="1" customHeight="1" spans="1:6">
      <c r="A8506" s="9" t="str">
        <f>"10300828414"</f>
        <v>10300828414</v>
      </c>
      <c r="B8506" s="10">
        <v>34.22</v>
      </c>
      <c r="C8506" s="9"/>
      <c r="D8506" s="9">
        <f t="shared" si="132"/>
        <v>34.22</v>
      </c>
      <c r="E8506" s="11"/>
      <c r="F8506" s="9"/>
    </row>
    <row r="8507" s="1" customFormat="1" customHeight="1" spans="1:6">
      <c r="A8507" s="9" t="str">
        <f>"10330828415"</f>
        <v>10330828415</v>
      </c>
      <c r="B8507" s="10">
        <v>33.52</v>
      </c>
      <c r="C8507" s="9"/>
      <c r="D8507" s="9">
        <f t="shared" si="132"/>
        <v>33.52</v>
      </c>
      <c r="E8507" s="11"/>
      <c r="F8507" s="9"/>
    </row>
    <row r="8508" s="1" customFormat="1" customHeight="1" spans="1:6">
      <c r="A8508" s="9" t="str">
        <f>"10520828416"</f>
        <v>10520828416</v>
      </c>
      <c r="B8508" s="10">
        <v>41.54</v>
      </c>
      <c r="C8508" s="9"/>
      <c r="D8508" s="9">
        <f t="shared" si="132"/>
        <v>41.54</v>
      </c>
      <c r="E8508" s="11"/>
      <c r="F8508" s="9"/>
    </row>
    <row r="8509" s="1" customFormat="1" customHeight="1" spans="1:6">
      <c r="A8509" s="9" t="str">
        <f>"10110828417"</f>
        <v>10110828417</v>
      </c>
      <c r="B8509" s="10">
        <v>39.76</v>
      </c>
      <c r="C8509" s="9"/>
      <c r="D8509" s="9">
        <f t="shared" si="132"/>
        <v>39.76</v>
      </c>
      <c r="E8509" s="11"/>
      <c r="F8509" s="9"/>
    </row>
    <row r="8510" s="1" customFormat="1" customHeight="1" spans="1:6">
      <c r="A8510" s="9" t="str">
        <f>"10360828418"</f>
        <v>10360828418</v>
      </c>
      <c r="B8510" s="10">
        <v>35.08</v>
      </c>
      <c r="C8510" s="9"/>
      <c r="D8510" s="9">
        <f t="shared" si="132"/>
        <v>35.08</v>
      </c>
      <c r="E8510" s="11"/>
      <c r="F8510" s="9"/>
    </row>
    <row r="8511" s="1" customFormat="1" customHeight="1" spans="1:6">
      <c r="A8511" s="9" t="str">
        <f>"10360828419"</f>
        <v>10360828419</v>
      </c>
      <c r="B8511" s="10">
        <v>38.29</v>
      </c>
      <c r="C8511" s="9"/>
      <c r="D8511" s="9">
        <f t="shared" si="132"/>
        <v>38.29</v>
      </c>
      <c r="E8511" s="11"/>
      <c r="F8511" s="9"/>
    </row>
    <row r="8512" s="1" customFormat="1" customHeight="1" spans="1:6">
      <c r="A8512" s="9" t="str">
        <f>"10260828420"</f>
        <v>10260828420</v>
      </c>
      <c r="B8512" s="10">
        <v>48.29</v>
      </c>
      <c r="C8512" s="9"/>
      <c r="D8512" s="9">
        <f t="shared" si="132"/>
        <v>48.29</v>
      </c>
      <c r="E8512" s="11"/>
      <c r="F8512" s="9"/>
    </row>
    <row r="8513" s="1" customFormat="1" customHeight="1" spans="1:6">
      <c r="A8513" s="9" t="str">
        <f>"10510828421"</f>
        <v>10510828421</v>
      </c>
      <c r="B8513" s="10">
        <v>37.51</v>
      </c>
      <c r="C8513" s="9"/>
      <c r="D8513" s="9">
        <f t="shared" si="132"/>
        <v>37.51</v>
      </c>
      <c r="E8513" s="11"/>
      <c r="F8513" s="9"/>
    </row>
    <row r="8514" s="1" customFormat="1" customHeight="1" spans="1:6">
      <c r="A8514" s="9" t="str">
        <f>"10510828422"</f>
        <v>10510828422</v>
      </c>
      <c r="B8514" s="10">
        <v>0</v>
      </c>
      <c r="C8514" s="9"/>
      <c r="D8514" s="9">
        <f t="shared" si="132"/>
        <v>0</v>
      </c>
      <c r="E8514" s="11"/>
      <c r="F8514" s="9" t="s">
        <v>7</v>
      </c>
    </row>
    <row r="8515" s="1" customFormat="1" customHeight="1" spans="1:6">
      <c r="A8515" s="9" t="str">
        <f>"10140828423"</f>
        <v>10140828423</v>
      </c>
      <c r="B8515" s="10">
        <v>41.39</v>
      </c>
      <c r="C8515" s="9"/>
      <c r="D8515" s="9">
        <f t="shared" ref="D8515:D8578" si="133">SUM(B8515:C8515)</f>
        <v>41.39</v>
      </c>
      <c r="E8515" s="11"/>
      <c r="F8515" s="9"/>
    </row>
    <row r="8516" s="1" customFormat="1" customHeight="1" spans="1:6">
      <c r="A8516" s="9" t="str">
        <f>"10130828424"</f>
        <v>10130828424</v>
      </c>
      <c r="B8516" s="10">
        <v>33.27</v>
      </c>
      <c r="C8516" s="9"/>
      <c r="D8516" s="9">
        <f t="shared" si="133"/>
        <v>33.27</v>
      </c>
      <c r="E8516" s="11"/>
      <c r="F8516" s="9"/>
    </row>
    <row r="8517" s="1" customFormat="1" customHeight="1" spans="1:6">
      <c r="A8517" s="9" t="str">
        <f>"10360828425"</f>
        <v>10360828425</v>
      </c>
      <c r="B8517" s="10">
        <v>37.43</v>
      </c>
      <c r="C8517" s="9"/>
      <c r="D8517" s="9">
        <f t="shared" si="133"/>
        <v>37.43</v>
      </c>
      <c r="E8517" s="11"/>
      <c r="F8517" s="9"/>
    </row>
    <row r="8518" s="1" customFormat="1" customHeight="1" spans="1:6">
      <c r="A8518" s="9" t="str">
        <f>"10350828426"</f>
        <v>10350828426</v>
      </c>
      <c r="B8518" s="10">
        <v>0</v>
      </c>
      <c r="C8518" s="9"/>
      <c r="D8518" s="9">
        <f t="shared" si="133"/>
        <v>0</v>
      </c>
      <c r="E8518" s="11"/>
      <c r="F8518" s="9" t="s">
        <v>7</v>
      </c>
    </row>
    <row r="8519" s="1" customFormat="1" customHeight="1" spans="1:6">
      <c r="A8519" s="9" t="str">
        <f>"10070828427"</f>
        <v>10070828427</v>
      </c>
      <c r="B8519" s="10">
        <v>49.47</v>
      </c>
      <c r="C8519" s="9"/>
      <c r="D8519" s="9">
        <f t="shared" si="133"/>
        <v>49.47</v>
      </c>
      <c r="E8519" s="11"/>
      <c r="F8519" s="9"/>
    </row>
    <row r="8520" s="1" customFormat="1" customHeight="1" spans="1:6">
      <c r="A8520" s="9" t="str">
        <f>"10500828428"</f>
        <v>10500828428</v>
      </c>
      <c r="B8520" s="10">
        <v>0</v>
      </c>
      <c r="C8520" s="9"/>
      <c r="D8520" s="9">
        <f t="shared" si="133"/>
        <v>0</v>
      </c>
      <c r="E8520" s="11"/>
      <c r="F8520" s="9" t="s">
        <v>7</v>
      </c>
    </row>
    <row r="8521" s="1" customFormat="1" customHeight="1" spans="1:6">
      <c r="A8521" s="9" t="str">
        <f>"10360828429"</f>
        <v>10360828429</v>
      </c>
      <c r="B8521" s="10">
        <v>44.31</v>
      </c>
      <c r="C8521" s="9"/>
      <c r="D8521" s="9">
        <f t="shared" si="133"/>
        <v>44.31</v>
      </c>
      <c r="E8521" s="11"/>
      <c r="F8521" s="9"/>
    </row>
    <row r="8522" s="1" customFormat="1" customHeight="1" spans="1:6">
      <c r="A8522" s="9" t="str">
        <f>"10340828430"</f>
        <v>10340828430</v>
      </c>
      <c r="B8522" s="10">
        <v>0</v>
      </c>
      <c r="C8522" s="9"/>
      <c r="D8522" s="9">
        <f t="shared" si="133"/>
        <v>0</v>
      </c>
      <c r="E8522" s="11"/>
      <c r="F8522" s="9" t="s">
        <v>7</v>
      </c>
    </row>
    <row r="8523" s="1" customFormat="1" customHeight="1" spans="1:6">
      <c r="A8523" s="9" t="str">
        <f>"10530828501"</f>
        <v>10530828501</v>
      </c>
      <c r="B8523" s="10">
        <v>0</v>
      </c>
      <c r="C8523" s="9"/>
      <c r="D8523" s="9">
        <f t="shared" si="133"/>
        <v>0</v>
      </c>
      <c r="E8523" s="11"/>
      <c r="F8523" s="9" t="s">
        <v>7</v>
      </c>
    </row>
    <row r="8524" s="1" customFormat="1" customHeight="1" spans="1:6">
      <c r="A8524" s="9" t="str">
        <f>"10530828502"</f>
        <v>10530828502</v>
      </c>
      <c r="B8524" s="10">
        <v>0</v>
      </c>
      <c r="C8524" s="9"/>
      <c r="D8524" s="9">
        <f t="shared" si="133"/>
        <v>0</v>
      </c>
      <c r="E8524" s="11"/>
      <c r="F8524" s="9" t="s">
        <v>7</v>
      </c>
    </row>
    <row r="8525" s="1" customFormat="1" customHeight="1" spans="1:6">
      <c r="A8525" s="9" t="str">
        <f>"10330828503"</f>
        <v>10330828503</v>
      </c>
      <c r="B8525" s="10">
        <v>0</v>
      </c>
      <c r="C8525" s="9"/>
      <c r="D8525" s="9">
        <f t="shared" si="133"/>
        <v>0</v>
      </c>
      <c r="E8525" s="11"/>
      <c r="F8525" s="9" t="s">
        <v>7</v>
      </c>
    </row>
    <row r="8526" s="1" customFormat="1" customHeight="1" spans="1:6">
      <c r="A8526" s="9" t="str">
        <f>"10330828504"</f>
        <v>10330828504</v>
      </c>
      <c r="B8526" s="10">
        <v>36.64</v>
      </c>
      <c r="C8526" s="9"/>
      <c r="D8526" s="9">
        <f t="shared" si="133"/>
        <v>36.64</v>
      </c>
      <c r="E8526" s="11"/>
      <c r="F8526" s="9"/>
    </row>
    <row r="8527" s="1" customFormat="1" customHeight="1" spans="1:6">
      <c r="A8527" s="9" t="str">
        <f>"10530828505"</f>
        <v>10530828505</v>
      </c>
      <c r="B8527" s="10">
        <v>35.97</v>
      </c>
      <c r="C8527" s="9"/>
      <c r="D8527" s="9">
        <f t="shared" si="133"/>
        <v>35.97</v>
      </c>
      <c r="E8527" s="11"/>
      <c r="F8527" s="9"/>
    </row>
    <row r="8528" s="1" customFormat="1" customHeight="1" spans="1:6">
      <c r="A8528" s="9" t="str">
        <f>"10520828506"</f>
        <v>10520828506</v>
      </c>
      <c r="B8528" s="10">
        <v>0</v>
      </c>
      <c r="C8528" s="9"/>
      <c r="D8528" s="9">
        <f t="shared" si="133"/>
        <v>0</v>
      </c>
      <c r="E8528" s="11"/>
      <c r="F8528" s="9" t="s">
        <v>7</v>
      </c>
    </row>
    <row r="8529" s="1" customFormat="1" customHeight="1" spans="1:6">
      <c r="A8529" s="9" t="str">
        <f>"10120828507"</f>
        <v>10120828507</v>
      </c>
      <c r="B8529" s="10">
        <v>0</v>
      </c>
      <c r="C8529" s="9"/>
      <c r="D8529" s="9">
        <f t="shared" si="133"/>
        <v>0</v>
      </c>
      <c r="E8529" s="11"/>
      <c r="F8529" s="9" t="s">
        <v>7</v>
      </c>
    </row>
    <row r="8530" s="1" customFormat="1" customHeight="1" spans="1:6">
      <c r="A8530" s="9" t="str">
        <f>"10300828508"</f>
        <v>10300828508</v>
      </c>
      <c r="B8530" s="10">
        <v>0</v>
      </c>
      <c r="C8530" s="9"/>
      <c r="D8530" s="9">
        <f t="shared" si="133"/>
        <v>0</v>
      </c>
      <c r="E8530" s="11"/>
      <c r="F8530" s="9" t="s">
        <v>7</v>
      </c>
    </row>
    <row r="8531" s="1" customFormat="1" customHeight="1" spans="1:6">
      <c r="A8531" s="9" t="str">
        <f>"10360828509"</f>
        <v>10360828509</v>
      </c>
      <c r="B8531" s="10">
        <v>0</v>
      </c>
      <c r="C8531" s="9"/>
      <c r="D8531" s="9">
        <f t="shared" si="133"/>
        <v>0</v>
      </c>
      <c r="E8531" s="11"/>
      <c r="F8531" s="9" t="s">
        <v>7</v>
      </c>
    </row>
    <row r="8532" s="1" customFormat="1" customHeight="1" spans="1:6">
      <c r="A8532" s="9" t="str">
        <f>"10130828510"</f>
        <v>10130828510</v>
      </c>
      <c r="B8532" s="10">
        <v>34.55</v>
      </c>
      <c r="C8532" s="9"/>
      <c r="D8532" s="9">
        <f t="shared" si="133"/>
        <v>34.55</v>
      </c>
      <c r="E8532" s="11"/>
      <c r="F8532" s="9"/>
    </row>
    <row r="8533" s="1" customFormat="1" customHeight="1" spans="1:6">
      <c r="A8533" s="9" t="str">
        <f>"10210828511"</f>
        <v>10210828511</v>
      </c>
      <c r="B8533" s="10">
        <v>0</v>
      </c>
      <c r="C8533" s="9"/>
      <c r="D8533" s="9">
        <f t="shared" si="133"/>
        <v>0</v>
      </c>
      <c r="E8533" s="11"/>
      <c r="F8533" s="9" t="s">
        <v>7</v>
      </c>
    </row>
    <row r="8534" s="1" customFormat="1" customHeight="1" spans="1:6">
      <c r="A8534" s="9" t="str">
        <f>"10300828512"</f>
        <v>10300828512</v>
      </c>
      <c r="B8534" s="10">
        <v>42.47</v>
      </c>
      <c r="C8534" s="9"/>
      <c r="D8534" s="9">
        <f t="shared" si="133"/>
        <v>42.47</v>
      </c>
      <c r="E8534" s="11"/>
      <c r="F8534" s="9"/>
    </row>
    <row r="8535" s="1" customFormat="1" customHeight="1" spans="1:6">
      <c r="A8535" s="9" t="str">
        <f>"10360828513"</f>
        <v>10360828513</v>
      </c>
      <c r="B8535" s="10">
        <v>0</v>
      </c>
      <c r="C8535" s="9"/>
      <c r="D8535" s="9">
        <f t="shared" si="133"/>
        <v>0</v>
      </c>
      <c r="E8535" s="11"/>
      <c r="F8535" s="9" t="s">
        <v>7</v>
      </c>
    </row>
    <row r="8536" s="1" customFormat="1" customHeight="1" spans="1:6">
      <c r="A8536" s="9" t="str">
        <f>"10180828514"</f>
        <v>10180828514</v>
      </c>
      <c r="B8536" s="10">
        <v>49.48</v>
      </c>
      <c r="C8536" s="9"/>
      <c r="D8536" s="9">
        <f t="shared" si="133"/>
        <v>49.48</v>
      </c>
      <c r="E8536" s="11"/>
      <c r="F8536" s="9"/>
    </row>
    <row r="8537" s="1" customFormat="1" customHeight="1" spans="1:6">
      <c r="A8537" s="9" t="str">
        <f>"10020828515"</f>
        <v>10020828515</v>
      </c>
      <c r="B8537" s="10">
        <v>41.19</v>
      </c>
      <c r="C8537" s="9"/>
      <c r="D8537" s="9">
        <f t="shared" si="133"/>
        <v>41.19</v>
      </c>
      <c r="E8537" s="11"/>
      <c r="F8537" s="9"/>
    </row>
    <row r="8538" s="1" customFormat="1" customHeight="1" spans="1:6">
      <c r="A8538" s="9" t="str">
        <f>"10020828516"</f>
        <v>10020828516</v>
      </c>
      <c r="B8538" s="10">
        <v>35.56</v>
      </c>
      <c r="C8538" s="9"/>
      <c r="D8538" s="9">
        <f t="shared" si="133"/>
        <v>35.56</v>
      </c>
      <c r="E8538" s="11"/>
      <c r="F8538" s="9"/>
    </row>
    <row r="8539" s="1" customFormat="1" customHeight="1" spans="1:6">
      <c r="A8539" s="9" t="str">
        <f>"10360828517"</f>
        <v>10360828517</v>
      </c>
      <c r="B8539" s="10">
        <v>44.56</v>
      </c>
      <c r="C8539" s="9"/>
      <c r="D8539" s="9">
        <f t="shared" si="133"/>
        <v>44.56</v>
      </c>
      <c r="E8539" s="11"/>
      <c r="F8539" s="9"/>
    </row>
    <row r="8540" s="1" customFormat="1" customHeight="1" spans="1:6">
      <c r="A8540" s="9" t="str">
        <f>"10520828518"</f>
        <v>10520828518</v>
      </c>
      <c r="B8540" s="10">
        <v>39.99</v>
      </c>
      <c r="C8540" s="9"/>
      <c r="D8540" s="9">
        <f t="shared" si="133"/>
        <v>39.99</v>
      </c>
      <c r="E8540" s="11"/>
      <c r="F8540" s="9"/>
    </row>
    <row r="8541" s="1" customFormat="1" customHeight="1" spans="1:6">
      <c r="A8541" s="9" t="str">
        <f>"10060828519"</f>
        <v>10060828519</v>
      </c>
      <c r="B8541" s="10">
        <v>0</v>
      </c>
      <c r="C8541" s="9"/>
      <c r="D8541" s="9">
        <f t="shared" si="133"/>
        <v>0</v>
      </c>
      <c r="E8541" s="11"/>
      <c r="F8541" s="9" t="s">
        <v>7</v>
      </c>
    </row>
    <row r="8542" s="1" customFormat="1" customHeight="1" spans="1:6">
      <c r="A8542" s="9" t="str">
        <f>"10060828520"</f>
        <v>10060828520</v>
      </c>
      <c r="B8542" s="10">
        <v>52.46</v>
      </c>
      <c r="C8542" s="9"/>
      <c r="D8542" s="9">
        <f t="shared" si="133"/>
        <v>52.46</v>
      </c>
      <c r="E8542" s="11"/>
      <c r="F8542" s="9"/>
    </row>
    <row r="8543" s="1" customFormat="1" customHeight="1" spans="1:6">
      <c r="A8543" s="9" t="str">
        <f>"10160828521"</f>
        <v>10160828521</v>
      </c>
      <c r="B8543" s="10">
        <v>37.25</v>
      </c>
      <c r="C8543" s="9"/>
      <c r="D8543" s="9">
        <f t="shared" si="133"/>
        <v>37.25</v>
      </c>
      <c r="E8543" s="11"/>
      <c r="F8543" s="9"/>
    </row>
    <row r="8544" s="1" customFormat="1" customHeight="1" spans="1:6">
      <c r="A8544" s="9" t="str">
        <f>"20270828522"</f>
        <v>20270828522</v>
      </c>
      <c r="B8544" s="10">
        <v>40.82</v>
      </c>
      <c r="C8544" s="9"/>
      <c r="D8544" s="9">
        <f t="shared" si="133"/>
        <v>40.82</v>
      </c>
      <c r="E8544" s="11"/>
      <c r="F8544" s="9"/>
    </row>
    <row r="8545" s="1" customFormat="1" customHeight="1" spans="1:6">
      <c r="A8545" s="9" t="str">
        <f>"10360828523"</f>
        <v>10360828523</v>
      </c>
      <c r="B8545" s="10">
        <v>42.58</v>
      </c>
      <c r="C8545" s="9"/>
      <c r="D8545" s="9">
        <f t="shared" si="133"/>
        <v>42.58</v>
      </c>
      <c r="E8545" s="11"/>
      <c r="F8545" s="9"/>
    </row>
    <row r="8546" s="1" customFormat="1" customHeight="1" spans="1:6">
      <c r="A8546" s="9" t="str">
        <f>"10330828524"</f>
        <v>10330828524</v>
      </c>
      <c r="B8546" s="10">
        <v>0</v>
      </c>
      <c r="C8546" s="9"/>
      <c r="D8546" s="9">
        <f t="shared" si="133"/>
        <v>0</v>
      </c>
      <c r="E8546" s="11"/>
      <c r="F8546" s="9" t="s">
        <v>7</v>
      </c>
    </row>
    <row r="8547" s="1" customFormat="1" customHeight="1" spans="1:6">
      <c r="A8547" s="9" t="str">
        <f>"10530828525"</f>
        <v>10530828525</v>
      </c>
      <c r="B8547" s="10">
        <v>0</v>
      </c>
      <c r="C8547" s="9"/>
      <c r="D8547" s="9">
        <f t="shared" si="133"/>
        <v>0</v>
      </c>
      <c r="E8547" s="11"/>
      <c r="F8547" s="9" t="s">
        <v>7</v>
      </c>
    </row>
    <row r="8548" s="1" customFormat="1" customHeight="1" spans="1:6">
      <c r="A8548" s="9" t="str">
        <f>"10400828526"</f>
        <v>10400828526</v>
      </c>
      <c r="B8548" s="10">
        <v>41.91</v>
      </c>
      <c r="C8548" s="9"/>
      <c r="D8548" s="9">
        <f t="shared" si="133"/>
        <v>41.91</v>
      </c>
      <c r="E8548" s="11"/>
      <c r="F8548" s="9"/>
    </row>
    <row r="8549" s="1" customFormat="1" customHeight="1" spans="1:6">
      <c r="A8549" s="9" t="str">
        <f>"10400828527"</f>
        <v>10400828527</v>
      </c>
      <c r="B8549" s="10">
        <v>40.86</v>
      </c>
      <c r="C8549" s="9"/>
      <c r="D8549" s="9">
        <f t="shared" si="133"/>
        <v>40.86</v>
      </c>
      <c r="E8549" s="11"/>
      <c r="F8549" s="9"/>
    </row>
    <row r="8550" s="1" customFormat="1" customHeight="1" spans="1:6">
      <c r="A8550" s="9" t="str">
        <f>"10360828528"</f>
        <v>10360828528</v>
      </c>
      <c r="B8550" s="10">
        <v>0</v>
      </c>
      <c r="C8550" s="9"/>
      <c r="D8550" s="9">
        <f t="shared" si="133"/>
        <v>0</v>
      </c>
      <c r="E8550" s="11"/>
      <c r="F8550" s="9" t="s">
        <v>7</v>
      </c>
    </row>
    <row r="8551" s="1" customFormat="1" customHeight="1" spans="1:6">
      <c r="A8551" s="9" t="str">
        <f>"10360828529"</f>
        <v>10360828529</v>
      </c>
      <c r="B8551" s="10">
        <v>34.24</v>
      </c>
      <c r="C8551" s="9"/>
      <c r="D8551" s="9">
        <f t="shared" si="133"/>
        <v>34.24</v>
      </c>
      <c r="E8551" s="11"/>
      <c r="F8551" s="9"/>
    </row>
    <row r="8552" s="1" customFormat="1" customHeight="1" spans="1:6">
      <c r="A8552" s="9" t="str">
        <f>"10360828530"</f>
        <v>10360828530</v>
      </c>
      <c r="B8552" s="10">
        <v>34.67</v>
      </c>
      <c r="C8552" s="9"/>
      <c r="D8552" s="9">
        <f t="shared" si="133"/>
        <v>34.67</v>
      </c>
      <c r="E8552" s="11"/>
      <c r="F8552" s="9"/>
    </row>
    <row r="8553" s="1" customFormat="1" customHeight="1" spans="1:6">
      <c r="A8553" s="9" t="str">
        <f>"10130828601"</f>
        <v>10130828601</v>
      </c>
      <c r="B8553" s="10">
        <v>0</v>
      </c>
      <c r="C8553" s="9"/>
      <c r="D8553" s="9">
        <f t="shared" si="133"/>
        <v>0</v>
      </c>
      <c r="E8553" s="11"/>
      <c r="F8553" s="9" t="s">
        <v>7</v>
      </c>
    </row>
    <row r="8554" s="1" customFormat="1" customHeight="1" spans="1:6">
      <c r="A8554" s="9" t="str">
        <f>"10530828602"</f>
        <v>10530828602</v>
      </c>
      <c r="B8554" s="10">
        <v>38.27</v>
      </c>
      <c r="C8554" s="9"/>
      <c r="D8554" s="9">
        <f t="shared" si="133"/>
        <v>38.27</v>
      </c>
      <c r="E8554" s="11"/>
      <c r="F8554" s="9"/>
    </row>
    <row r="8555" s="1" customFormat="1" customHeight="1" spans="1:6">
      <c r="A8555" s="9" t="str">
        <f>"10360828603"</f>
        <v>10360828603</v>
      </c>
      <c r="B8555" s="10">
        <v>0</v>
      </c>
      <c r="C8555" s="9"/>
      <c r="D8555" s="9">
        <f t="shared" si="133"/>
        <v>0</v>
      </c>
      <c r="E8555" s="11"/>
      <c r="F8555" s="9" t="s">
        <v>7</v>
      </c>
    </row>
    <row r="8556" s="1" customFormat="1" customHeight="1" spans="1:6">
      <c r="A8556" s="9" t="str">
        <f>"10300828604"</f>
        <v>10300828604</v>
      </c>
      <c r="B8556" s="10">
        <v>0</v>
      </c>
      <c r="C8556" s="9"/>
      <c r="D8556" s="9">
        <f t="shared" si="133"/>
        <v>0</v>
      </c>
      <c r="E8556" s="11"/>
      <c r="F8556" s="9" t="s">
        <v>7</v>
      </c>
    </row>
    <row r="8557" s="1" customFormat="1" customHeight="1" spans="1:6">
      <c r="A8557" s="9" t="str">
        <f>"10360828605"</f>
        <v>10360828605</v>
      </c>
      <c r="B8557" s="10">
        <v>0</v>
      </c>
      <c r="C8557" s="9"/>
      <c r="D8557" s="9">
        <f t="shared" si="133"/>
        <v>0</v>
      </c>
      <c r="E8557" s="11"/>
      <c r="F8557" s="9" t="s">
        <v>7</v>
      </c>
    </row>
    <row r="8558" s="1" customFormat="1" customHeight="1" spans="1:6">
      <c r="A8558" s="9" t="str">
        <f>"10360828606"</f>
        <v>10360828606</v>
      </c>
      <c r="B8558" s="10">
        <v>0</v>
      </c>
      <c r="C8558" s="9"/>
      <c r="D8558" s="9">
        <f t="shared" si="133"/>
        <v>0</v>
      </c>
      <c r="E8558" s="11"/>
      <c r="F8558" s="9" t="s">
        <v>7</v>
      </c>
    </row>
    <row r="8559" s="1" customFormat="1" customHeight="1" spans="1:6">
      <c r="A8559" s="9" t="str">
        <f>"10360828607"</f>
        <v>10360828607</v>
      </c>
      <c r="B8559" s="10">
        <v>37.24</v>
      </c>
      <c r="C8559" s="9"/>
      <c r="D8559" s="9">
        <f t="shared" si="133"/>
        <v>37.24</v>
      </c>
      <c r="E8559" s="11"/>
      <c r="F8559" s="9"/>
    </row>
    <row r="8560" s="1" customFormat="1" customHeight="1" spans="1:6">
      <c r="A8560" s="9" t="str">
        <f>"10460828608"</f>
        <v>10460828608</v>
      </c>
      <c r="B8560" s="10">
        <v>34.85</v>
      </c>
      <c r="C8560" s="9"/>
      <c r="D8560" s="9">
        <f t="shared" si="133"/>
        <v>34.85</v>
      </c>
      <c r="E8560" s="11"/>
      <c r="F8560" s="9"/>
    </row>
    <row r="8561" s="1" customFormat="1" customHeight="1" spans="1:6">
      <c r="A8561" s="9" t="str">
        <f>"10500828609"</f>
        <v>10500828609</v>
      </c>
      <c r="B8561" s="10">
        <v>0</v>
      </c>
      <c r="C8561" s="9"/>
      <c r="D8561" s="9">
        <f t="shared" si="133"/>
        <v>0</v>
      </c>
      <c r="E8561" s="11"/>
      <c r="F8561" s="9" t="s">
        <v>7</v>
      </c>
    </row>
    <row r="8562" s="1" customFormat="1" customHeight="1" spans="1:6">
      <c r="A8562" s="9" t="str">
        <f>"10430828610"</f>
        <v>10430828610</v>
      </c>
      <c r="B8562" s="10">
        <v>40.73</v>
      </c>
      <c r="C8562" s="9"/>
      <c r="D8562" s="9">
        <f t="shared" si="133"/>
        <v>40.73</v>
      </c>
      <c r="E8562" s="11"/>
      <c r="F8562" s="9"/>
    </row>
    <row r="8563" s="1" customFormat="1" customHeight="1" spans="1:6">
      <c r="A8563" s="9" t="str">
        <f>"10210828611"</f>
        <v>10210828611</v>
      </c>
      <c r="B8563" s="10">
        <v>38.39</v>
      </c>
      <c r="C8563" s="9"/>
      <c r="D8563" s="9">
        <f t="shared" si="133"/>
        <v>38.39</v>
      </c>
      <c r="E8563" s="11"/>
      <c r="F8563" s="9"/>
    </row>
    <row r="8564" s="1" customFormat="1" customHeight="1" spans="1:6">
      <c r="A8564" s="9" t="str">
        <f>"10230828612"</f>
        <v>10230828612</v>
      </c>
      <c r="B8564" s="10">
        <v>0</v>
      </c>
      <c r="C8564" s="9"/>
      <c r="D8564" s="9">
        <f t="shared" si="133"/>
        <v>0</v>
      </c>
      <c r="E8564" s="11"/>
      <c r="F8564" s="9" t="s">
        <v>7</v>
      </c>
    </row>
    <row r="8565" s="1" customFormat="1" customHeight="1" spans="1:6">
      <c r="A8565" s="9" t="str">
        <f>"10230828613"</f>
        <v>10230828613</v>
      </c>
      <c r="B8565" s="10">
        <v>0</v>
      </c>
      <c r="C8565" s="9"/>
      <c r="D8565" s="9">
        <f t="shared" si="133"/>
        <v>0</v>
      </c>
      <c r="E8565" s="11"/>
      <c r="F8565" s="9" t="s">
        <v>7</v>
      </c>
    </row>
    <row r="8566" s="1" customFormat="1" customHeight="1" spans="1:6">
      <c r="A8566" s="9" t="str">
        <f>"10360828614"</f>
        <v>10360828614</v>
      </c>
      <c r="B8566" s="10">
        <v>42.34</v>
      </c>
      <c r="C8566" s="9"/>
      <c r="D8566" s="9">
        <f t="shared" si="133"/>
        <v>42.34</v>
      </c>
      <c r="E8566" s="11"/>
      <c r="F8566" s="9"/>
    </row>
    <row r="8567" s="1" customFormat="1" customHeight="1" spans="1:6">
      <c r="A8567" s="9" t="str">
        <f>"10360828615"</f>
        <v>10360828615</v>
      </c>
      <c r="B8567" s="10">
        <v>0</v>
      </c>
      <c r="C8567" s="9"/>
      <c r="D8567" s="9">
        <f t="shared" si="133"/>
        <v>0</v>
      </c>
      <c r="E8567" s="11"/>
      <c r="F8567" s="9" t="s">
        <v>7</v>
      </c>
    </row>
    <row r="8568" s="1" customFormat="1" customHeight="1" spans="1:6">
      <c r="A8568" s="9" t="str">
        <f>"10010828616"</f>
        <v>10010828616</v>
      </c>
      <c r="B8568" s="10">
        <v>43.68</v>
      </c>
      <c r="C8568" s="9"/>
      <c r="D8568" s="9">
        <f t="shared" si="133"/>
        <v>43.68</v>
      </c>
      <c r="E8568" s="11"/>
      <c r="F8568" s="9"/>
    </row>
    <row r="8569" s="1" customFormat="1" customHeight="1" spans="1:6">
      <c r="A8569" s="9" t="str">
        <f>"10150828617"</f>
        <v>10150828617</v>
      </c>
      <c r="B8569" s="10">
        <v>37.84</v>
      </c>
      <c r="C8569" s="9"/>
      <c r="D8569" s="9">
        <f t="shared" si="133"/>
        <v>37.84</v>
      </c>
      <c r="E8569" s="11"/>
      <c r="F8569" s="9"/>
    </row>
    <row r="8570" s="1" customFormat="1" customHeight="1" spans="1:6">
      <c r="A8570" s="9" t="str">
        <f>"10360828618"</f>
        <v>10360828618</v>
      </c>
      <c r="B8570" s="10">
        <v>0</v>
      </c>
      <c r="C8570" s="9"/>
      <c r="D8570" s="9">
        <f t="shared" si="133"/>
        <v>0</v>
      </c>
      <c r="E8570" s="11"/>
      <c r="F8570" s="9" t="s">
        <v>7</v>
      </c>
    </row>
    <row r="8571" s="1" customFormat="1" customHeight="1" spans="1:6">
      <c r="A8571" s="9" t="str">
        <f>"10130828619"</f>
        <v>10130828619</v>
      </c>
      <c r="B8571" s="10">
        <v>52.97</v>
      </c>
      <c r="C8571" s="9"/>
      <c r="D8571" s="9">
        <f t="shared" si="133"/>
        <v>52.97</v>
      </c>
      <c r="E8571" s="11"/>
      <c r="F8571" s="9"/>
    </row>
    <row r="8572" s="1" customFormat="1" customHeight="1" spans="1:6">
      <c r="A8572" s="9" t="str">
        <f>"10530828620"</f>
        <v>10530828620</v>
      </c>
      <c r="B8572" s="10">
        <v>43.09</v>
      </c>
      <c r="C8572" s="9"/>
      <c r="D8572" s="9">
        <f t="shared" si="133"/>
        <v>43.09</v>
      </c>
      <c r="E8572" s="11"/>
      <c r="F8572" s="9"/>
    </row>
    <row r="8573" s="1" customFormat="1" customHeight="1" spans="1:6">
      <c r="A8573" s="9" t="str">
        <f>"10130828621"</f>
        <v>10130828621</v>
      </c>
      <c r="B8573" s="10">
        <v>46.93</v>
      </c>
      <c r="C8573" s="9"/>
      <c r="D8573" s="9">
        <f t="shared" si="133"/>
        <v>46.93</v>
      </c>
      <c r="E8573" s="11"/>
      <c r="F8573" s="9"/>
    </row>
    <row r="8574" s="1" customFormat="1" customHeight="1" spans="1:6">
      <c r="A8574" s="9" t="str">
        <f>"10210828622"</f>
        <v>10210828622</v>
      </c>
      <c r="B8574" s="10">
        <v>0</v>
      </c>
      <c r="C8574" s="9">
        <v>10</v>
      </c>
      <c r="D8574" s="9">
        <f t="shared" si="133"/>
        <v>10</v>
      </c>
      <c r="E8574" s="12" t="s">
        <v>8</v>
      </c>
      <c r="F8574" s="9" t="s">
        <v>7</v>
      </c>
    </row>
    <row r="8575" s="1" customFormat="1" customHeight="1" spans="1:6">
      <c r="A8575" s="9" t="str">
        <f>"10530828623"</f>
        <v>10530828623</v>
      </c>
      <c r="B8575" s="10">
        <v>48.46</v>
      </c>
      <c r="C8575" s="9"/>
      <c r="D8575" s="9">
        <f t="shared" si="133"/>
        <v>48.46</v>
      </c>
      <c r="E8575" s="11"/>
      <c r="F8575" s="9"/>
    </row>
    <row r="8576" s="1" customFormat="1" customHeight="1" spans="1:6">
      <c r="A8576" s="9" t="str">
        <f>"10360828624"</f>
        <v>10360828624</v>
      </c>
      <c r="B8576" s="10">
        <v>35.18</v>
      </c>
      <c r="C8576" s="9"/>
      <c r="D8576" s="9">
        <f t="shared" si="133"/>
        <v>35.18</v>
      </c>
      <c r="E8576" s="11"/>
      <c r="F8576" s="9"/>
    </row>
    <row r="8577" s="1" customFormat="1" customHeight="1" spans="1:6">
      <c r="A8577" s="9" t="str">
        <f>"10530828625"</f>
        <v>10530828625</v>
      </c>
      <c r="B8577" s="10">
        <v>0</v>
      </c>
      <c r="C8577" s="9"/>
      <c r="D8577" s="9">
        <f t="shared" si="133"/>
        <v>0</v>
      </c>
      <c r="E8577" s="11"/>
      <c r="F8577" s="9" t="s">
        <v>7</v>
      </c>
    </row>
    <row r="8578" s="1" customFormat="1" customHeight="1" spans="1:6">
      <c r="A8578" s="9" t="str">
        <f>"10060828626"</f>
        <v>10060828626</v>
      </c>
      <c r="B8578" s="10">
        <v>78.93</v>
      </c>
      <c r="C8578" s="9"/>
      <c r="D8578" s="9">
        <f t="shared" si="133"/>
        <v>78.93</v>
      </c>
      <c r="E8578" s="11"/>
      <c r="F8578" s="9"/>
    </row>
    <row r="8579" s="1" customFormat="1" customHeight="1" spans="1:6">
      <c r="A8579" s="9" t="str">
        <f>"10300828627"</f>
        <v>10300828627</v>
      </c>
      <c r="B8579" s="10">
        <v>42.49</v>
      </c>
      <c r="C8579" s="9"/>
      <c r="D8579" s="9">
        <f t="shared" ref="D8579:D8642" si="134">SUM(B8579:C8579)</f>
        <v>42.49</v>
      </c>
      <c r="E8579" s="11"/>
      <c r="F8579" s="9"/>
    </row>
    <row r="8580" s="1" customFormat="1" customHeight="1" spans="1:6">
      <c r="A8580" s="9" t="str">
        <f>"10530828628"</f>
        <v>10530828628</v>
      </c>
      <c r="B8580" s="10">
        <v>42.71</v>
      </c>
      <c r="C8580" s="9"/>
      <c r="D8580" s="9">
        <f t="shared" si="134"/>
        <v>42.71</v>
      </c>
      <c r="E8580" s="11"/>
      <c r="F8580" s="9"/>
    </row>
    <row r="8581" s="1" customFormat="1" customHeight="1" spans="1:6">
      <c r="A8581" s="9" t="str">
        <f>"10060828629"</f>
        <v>10060828629</v>
      </c>
      <c r="B8581" s="10">
        <v>0</v>
      </c>
      <c r="C8581" s="9"/>
      <c r="D8581" s="9">
        <f t="shared" si="134"/>
        <v>0</v>
      </c>
      <c r="E8581" s="11"/>
      <c r="F8581" s="9" t="s">
        <v>7</v>
      </c>
    </row>
    <row r="8582" s="1" customFormat="1" customHeight="1" spans="1:6">
      <c r="A8582" s="9" t="str">
        <f>"10230828630"</f>
        <v>10230828630</v>
      </c>
      <c r="B8582" s="10">
        <v>39.11</v>
      </c>
      <c r="C8582" s="9"/>
      <c r="D8582" s="9">
        <f t="shared" si="134"/>
        <v>39.11</v>
      </c>
      <c r="E8582" s="11"/>
      <c r="F8582" s="9"/>
    </row>
    <row r="8583" s="1" customFormat="1" customHeight="1" spans="1:6">
      <c r="A8583" s="9" t="str">
        <f>"10500828701"</f>
        <v>10500828701</v>
      </c>
      <c r="B8583" s="10">
        <v>33.02</v>
      </c>
      <c r="C8583" s="9"/>
      <c r="D8583" s="9">
        <f t="shared" si="134"/>
        <v>33.02</v>
      </c>
      <c r="E8583" s="11"/>
      <c r="F8583" s="9"/>
    </row>
    <row r="8584" s="1" customFormat="1" customHeight="1" spans="1:6">
      <c r="A8584" s="9" t="str">
        <f>"10460828702"</f>
        <v>10460828702</v>
      </c>
      <c r="B8584" s="10">
        <v>36.47</v>
      </c>
      <c r="C8584" s="9"/>
      <c r="D8584" s="9">
        <f t="shared" si="134"/>
        <v>36.47</v>
      </c>
      <c r="E8584" s="11"/>
      <c r="F8584" s="9"/>
    </row>
    <row r="8585" s="1" customFormat="1" customHeight="1" spans="1:6">
      <c r="A8585" s="9" t="str">
        <f>"10310828703"</f>
        <v>10310828703</v>
      </c>
      <c r="B8585" s="10">
        <v>34.11</v>
      </c>
      <c r="C8585" s="9"/>
      <c r="D8585" s="9">
        <f t="shared" si="134"/>
        <v>34.11</v>
      </c>
      <c r="E8585" s="11"/>
      <c r="F8585" s="9"/>
    </row>
    <row r="8586" s="1" customFormat="1" customHeight="1" spans="1:6">
      <c r="A8586" s="9" t="str">
        <f>"10050828704"</f>
        <v>10050828704</v>
      </c>
      <c r="B8586" s="10">
        <v>40.41</v>
      </c>
      <c r="C8586" s="9"/>
      <c r="D8586" s="9">
        <f t="shared" si="134"/>
        <v>40.41</v>
      </c>
      <c r="E8586" s="11"/>
      <c r="F8586" s="9"/>
    </row>
    <row r="8587" s="1" customFormat="1" customHeight="1" spans="1:6">
      <c r="A8587" s="9" t="str">
        <f>"10450828705"</f>
        <v>10450828705</v>
      </c>
      <c r="B8587" s="10">
        <v>33.61</v>
      </c>
      <c r="C8587" s="9"/>
      <c r="D8587" s="9">
        <f t="shared" si="134"/>
        <v>33.61</v>
      </c>
      <c r="E8587" s="11"/>
      <c r="F8587" s="9"/>
    </row>
    <row r="8588" s="1" customFormat="1" customHeight="1" spans="1:6">
      <c r="A8588" s="9" t="str">
        <f>"10380828706"</f>
        <v>10380828706</v>
      </c>
      <c r="B8588" s="10">
        <v>40.92</v>
      </c>
      <c r="C8588" s="9"/>
      <c r="D8588" s="9">
        <f t="shared" si="134"/>
        <v>40.92</v>
      </c>
      <c r="E8588" s="11"/>
      <c r="F8588" s="9"/>
    </row>
    <row r="8589" s="1" customFormat="1" customHeight="1" spans="1:6">
      <c r="A8589" s="9" t="str">
        <f>"10160828707"</f>
        <v>10160828707</v>
      </c>
      <c r="B8589" s="10">
        <v>0</v>
      </c>
      <c r="C8589" s="9"/>
      <c r="D8589" s="9">
        <f t="shared" si="134"/>
        <v>0</v>
      </c>
      <c r="E8589" s="11"/>
      <c r="F8589" s="9" t="s">
        <v>7</v>
      </c>
    </row>
    <row r="8590" s="1" customFormat="1" customHeight="1" spans="1:6">
      <c r="A8590" s="9" t="str">
        <f>"10230828708"</f>
        <v>10230828708</v>
      </c>
      <c r="B8590" s="10">
        <v>0</v>
      </c>
      <c r="C8590" s="9"/>
      <c r="D8590" s="9">
        <f t="shared" si="134"/>
        <v>0</v>
      </c>
      <c r="E8590" s="11"/>
      <c r="F8590" s="9" t="s">
        <v>7</v>
      </c>
    </row>
    <row r="8591" s="1" customFormat="1" customHeight="1" spans="1:6">
      <c r="A8591" s="9" t="str">
        <f>"10280828709"</f>
        <v>10280828709</v>
      </c>
      <c r="B8591" s="10">
        <v>0</v>
      </c>
      <c r="C8591" s="9"/>
      <c r="D8591" s="9">
        <f t="shared" si="134"/>
        <v>0</v>
      </c>
      <c r="E8591" s="11"/>
      <c r="F8591" s="9" t="s">
        <v>7</v>
      </c>
    </row>
    <row r="8592" s="1" customFormat="1" customHeight="1" spans="1:6">
      <c r="A8592" s="9" t="str">
        <f>"10360828710"</f>
        <v>10360828710</v>
      </c>
      <c r="B8592" s="10">
        <v>0</v>
      </c>
      <c r="C8592" s="9"/>
      <c r="D8592" s="9">
        <f t="shared" si="134"/>
        <v>0</v>
      </c>
      <c r="E8592" s="11"/>
      <c r="F8592" s="9" t="s">
        <v>7</v>
      </c>
    </row>
    <row r="8593" s="1" customFormat="1" customHeight="1" spans="1:6">
      <c r="A8593" s="9" t="str">
        <f>"10360828711"</f>
        <v>10360828711</v>
      </c>
      <c r="B8593" s="10">
        <v>33.06</v>
      </c>
      <c r="C8593" s="9"/>
      <c r="D8593" s="9">
        <f t="shared" si="134"/>
        <v>33.06</v>
      </c>
      <c r="E8593" s="11"/>
      <c r="F8593" s="9"/>
    </row>
    <row r="8594" s="1" customFormat="1" customHeight="1" spans="1:6">
      <c r="A8594" s="9" t="str">
        <f>"10360828712"</f>
        <v>10360828712</v>
      </c>
      <c r="B8594" s="10">
        <v>36.56</v>
      </c>
      <c r="C8594" s="9"/>
      <c r="D8594" s="9">
        <f t="shared" si="134"/>
        <v>36.56</v>
      </c>
      <c r="E8594" s="11"/>
      <c r="F8594" s="9"/>
    </row>
    <row r="8595" s="1" customFormat="1" customHeight="1" spans="1:6">
      <c r="A8595" s="9" t="str">
        <f>"10360828713"</f>
        <v>10360828713</v>
      </c>
      <c r="B8595" s="10">
        <v>0</v>
      </c>
      <c r="C8595" s="9"/>
      <c r="D8595" s="9">
        <f t="shared" si="134"/>
        <v>0</v>
      </c>
      <c r="E8595" s="11"/>
      <c r="F8595" s="9" t="s">
        <v>7</v>
      </c>
    </row>
    <row r="8596" s="1" customFormat="1" customHeight="1" spans="1:6">
      <c r="A8596" s="9" t="str">
        <f>"10330828714"</f>
        <v>10330828714</v>
      </c>
      <c r="B8596" s="10">
        <v>44.06</v>
      </c>
      <c r="C8596" s="9"/>
      <c r="D8596" s="9">
        <f t="shared" si="134"/>
        <v>44.06</v>
      </c>
      <c r="E8596" s="11"/>
      <c r="F8596" s="9"/>
    </row>
    <row r="8597" s="1" customFormat="1" customHeight="1" spans="1:6">
      <c r="A8597" s="9" t="str">
        <f>"10500828715"</f>
        <v>10500828715</v>
      </c>
      <c r="B8597" s="10">
        <v>0</v>
      </c>
      <c r="C8597" s="9"/>
      <c r="D8597" s="9">
        <f t="shared" si="134"/>
        <v>0</v>
      </c>
      <c r="E8597" s="11"/>
      <c r="F8597" s="9" t="s">
        <v>7</v>
      </c>
    </row>
    <row r="8598" s="1" customFormat="1" customHeight="1" spans="1:6">
      <c r="A8598" s="9" t="str">
        <f>"10520828716"</f>
        <v>10520828716</v>
      </c>
      <c r="B8598" s="10">
        <v>0</v>
      </c>
      <c r="C8598" s="9"/>
      <c r="D8598" s="9">
        <f t="shared" si="134"/>
        <v>0</v>
      </c>
      <c r="E8598" s="11"/>
      <c r="F8598" s="9" t="s">
        <v>7</v>
      </c>
    </row>
    <row r="8599" s="1" customFormat="1" customHeight="1" spans="1:6">
      <c r="A8599" s="9" t="str">
        <f>"10010828717"</f>
        <v>10010828717</v>
      </c>
      <c r="B8599" s="10">
        <v>39.77</v>
      </c>
      <c r="C8599" s="9"/>
      <c r="D8599" s="9">
        <f t="shared" si="134"/>
        <v>39.77</v>
      </c>
      <c r="E8599" s="11"/>
      <c r="F8599" s="9"/>
    </row>
    <row r="8600" s="1" customFormat="1" customHeight="1" spans="1:6">
      <c r="A8600" s="9" t="str">
        <f>"10360828718"</f>
        <v>10360828718</v>
      </c>
      <c r="B8600" s="10">
        <v>40.72</v>
      </c>
      <c r="C8600" s="9"/>
      <c r="D8600" s="9">
        <f t="shared" si="134"/>
        <v>40.72</v>
      </c>
      <c r="E8600" s="11"/>
      <c r="F8600" s="9"/>
    </row>
    <row r="8601" s="1" customFormat="1" customHeight="1" spans="1:6">
      <c r="A8601" s="9" t="str">
        <f>"10400828719"</f>
        <v>10400828719</v>
      </c>
      <c r="B8601" s="10">
        <v>58.29</v>
      </c>
      <c r="C8601" s="9"/>
      <c r="D8601" s="9">
        <f t="shared" si="134"/>
        <v>58.29</v>
      </c>
      <c r="E8601" s="11"/>
      <c r="F8601" s="9"/>
    </row>
    <row r="8602" s="1" customFormat="1" customHeight="1" spans="1:6">
      <c r="A8602" s="9" t="str">
        <f>"10300828720"</f>
        <v>10300828720</v>
      </c>
      <c r="B8602" s="10">
        <v>0</v>
      </c>
      <c r="C8602" s="9"/>
      <c r="D8602" s="9">
        <f t="shared" si="134"/>
        <v>0</v>
      </c>
      <c r="E8602" s="11"/>
      <c r="F8602" s="9" t="s">
        <v>7</v>
      </c>
    </row>
    <row r="8603" s="1" customFormat="1" customHeight="1" spans="1:6">
      <c r="A8603" s="9" t="str">
        <f>"10230828721"</f>
        <v>10230828721</v>
      </c>
      <c r="B8603" s="10">
        <v>44.62</v>
      </c>
      <c r="C8603" s="9"/>
      <c r="D8603" s="9">
        <f t="shared" si="134"/>
        <v>44.62</v>
      </c>
      <c r="E8603" s="11"/>
      <c r="F8603" s="9"/>
    </row>
    <row r="8604" s="1" customFormat="1" customHeight="1" spans="1:6">
      <c r="A8604" s="9" t="str">
        <f>"10080828722"</f>
        <v>10080828722</v>
      </c>
      <c r="B8604" s="10">
        <v>53.22</v>
      </c>
      <c r="C8604" s="9"/>
      <c r="D8604" s="9">
        <f t="shared" si="134"/>
        <v>53.22</v>
      </c>
      <c r="E8604" s="11"/>
      <c r="F8604" s="9"/>
    </row>
    <row r="8605" s="1" customFormat="1" customHeight="1" spans="1:6">
      <c r="A8605" s="9" t="str">
        <f>"10360828723"</f>
        <v>10360828723</v>
      </c>
      <c r="B8605" s="10">
        <v>33.21</v>
      </c>
      <c r="C8605" s="9"/>
      <c r="D8605" s="9">
        <f t="shared" si="134"/>
        <v>33.21</v>
      </c>
      <c r="E8605" s="11"/>
      <c r="F8605" s="9"/>
    </row>
    <row r="8606" s="1" customFormat="1" customHeight="1" spans="1:6">
      <c r="A8606" s="9" t="str">
        <f>"10360828724"</f>
        <v>10360828724</v>
      </c>
      <c r="B8606" s="10">
        <v>36.27</v>
      </c>
      <c r="C8606" s="9"/>
      <c r="D8606" s="9">
        <f t="shared" si="134"/>
        <v>36.27</v>
      </c>
      <c r="E8606" s="11"/>
      <c r="F8606" s="9"/>
    </row>
    <row r="8607" s="1" customFormat="1" customHeight="1" spans="1:6">
      <c r="A8607" s="9" t="str">
        <f>"10360828725"</f>
        <v>10360828725</v>
      </c>
      <c r="B8607" s="10">
        <v>39.53</v>
      </c>
      <c r="C8607" s="9"/>
      <c r="D8607" s="9">
        <f t="shared" si="134"/>
        <v>39.53</v>
      </c>
      <c r="E8607" s="11"/>
      <c r="F8607" s="9"/>
    </row>
    <row r="8608" s="1" customFormat="1" customHeight="1" spans="1:6">
      <c r="A8608" s="9" t="str">
        <f>"10520828726"</f>
        <v>10520828726</v>
      </c>
      <c r="B8608" s="10">
        <v>46.12</v>
      </c>
      <c r="C8608" s="9"/>
      <c r="D8608" s="9">
        <f t="shared" si="134"/>
        <v>46.12</v>
      </c>
      <c r="E8608" s="11"/>
      <c r="F8608" s="9"/>
    </row>
    <row r="8609" s="1" customFormat="1" customHeight="1" spans="1:6">
      <c r="A8609" s="9" t="str">
        <f>"10150828727"</f>
        <v>10150828727</v>
      </c>
      <c r="B8609" s="10">
        <v>44.09</v>
      </c>
      <c r="C8609" s="9"/>
      <c r="D8609" s="9">
        <f t="shared" si="134"/>
        <v>44.09</v>
      </c>
      <c r="E8609" s="11"/>
      <c r="F8609" s="9"/>
    </row>
    <row r="8610" s="1" customFormat="1" customHeight="1" spans="1:6">
      <c r="A8610" s="9" t="str">
        <f>"10300828728"</f>
        <v>10300828728</v>
      </c>
      <c r="B8610" s="10">
        <v>0</v>
      </c>
      <c r="C8610" s="9"/>
      <c r="D8610" s="9">
        <f t="shared" si="134"/>
        <v>0</v>
      </c>
      <c r="E8610" s="11"/>
      <c r="F8610" s="9" t="s">
        <v>7</v>
      </c>
    </row>
    <row r="8611" s="1" customFormat="1" customHeight="1" spans="1:6">
      <c r="A8611" s="9" t="str">
        <f>"10090828729"</f>
        <v>10090828729</v>
      </c>
      <c r="B8611" s="10">
        <v>43.5</v>
      </c>
      <c r="C8611" s="9"/>
      <c r="D8611" s="9">
        <f t="shared" si="134"/>
        <v>43.5</v>
      </c>
      <c r="E8611" s="11"/>
      <c r="F8611" s="9"/>
    </row>
    <row r="8612" s="1" customFormat="1" customHeight="1" spans="1:6">
      <c r="A8612" s="9" t="str">
        <f>"10110828730"</f>
        <v>10110828730</v>
      </c>
      <c r="B8612" s="10">
        <v>40.31</v>
      </c>
      <c r="C8612" s="9"/>
      <c r="D8612" s="9">
        <f t="shared" si="134"/>
        <v>40.31</v>
      </c>
      <c r="E8612" s="11"/>
      <c r="F8612" s="9"/>
    </row>
    <row r="8613" s="1" customFormat="1" customHeight="1" spans="1:6">
      <c r="A8613" s="9" t="str">
        <f>"10010828801"</f>
        <v>10010828801</v>
      </c>
      <c r="B8613" s="10">
        <v>0</v>
      </c>
      <c r="C8613" s="9"/>
      <c r="D8613" s="9">
        <f t="shared" si="134"/>
        <v>0</v>
      </c>
      <c r="E8613" s="11"/>
      <c r="F8613" s="9" t="s">
        <v>7</v>
      </c>
    </row>
    <row r="8614" s="1" customFormat="1" customHeight="1" spans="1:6">
      <c r="A8614" s="9" t="str">
        <f>"10460828802"</f>
        <v>10460828802</v>
      </c>
      <c r="B8614" s="10">
        <v>49.04</v>
      </c>
      <c r="C8614" s="9"/>
      <c r="D8614" s="9">
        <f t="shared" si="134"/>
        <v>49.04</v>
      </c>
      <c r="E8614" s="11"/>
      <c r="F8614" s="9"/>
    </row>
    <row r="8615" s="1" customFormat="1" customHeight="1" spans="1:6">
      <c r="A8615" s="9" t="str">
        <f>"10360828803"</f>
        <v>10360828803</v>
      </c>
      <c r="B8615" s="10">
        <v>35.32</v>
      </c>
      <c r="C8615" s="9"/>
      <c r="D8615" s="9">
        <f t="shared" si="134"/>
        <v>35.32</v>
      </c>
      <c r="E8615" s="11"/>
      <c r="F8615" s="9"/>
    </row>
    <row r="8616" s="1" customFormat="1" customHeight="1" spans="1:6">
      <c r="A8616" s="9" t="str">
        <f>"10020828804"</f>
        <v>10020828804</v>
      </c>
      <c r="B8616" s="10">
        <v>35.82</v>
      </c>
      <c r="C8616" s="9"/>
      <c r="D8616" s="9">
        <f t="shared" si="134"/>
        <v>35.82</v>
      </c>
      <c r="E8616" s="11"/>
      <c r="F8616" s="9"/>
    </row>
    <row r="8617" s="1" customFormat="1" customHeight="1" spans="1:6">
      <c r="A8617" s="9" t="str">
        <f>"10530828805"</f>
        <v>10530828805</v>
      </c>
      <c r="B8617" s="10">
        <v>0</v>
      </c>
      <c r="C8617" s="9"/>
      <c r="D8617" s="9">
        <f t="shared" si="134"/>
        <v>0</v>
      </c>
      <c r="E8617" s="11"/>
      <c r="F8617" s="9" t="s">
        <v>7</v>
      </c>
    </row>
    <row r="8618" s="1" customFormat="1" customHeight="1" spans="1:6">
      <c r="A8618" s="9" t="str">
        <f>"10530828806"</f>
        <v>10530828806</v>
      </c>
      <c r="B8618" s="10">
        <v>0</v>
      </c>
      <c r="C8618" s="9"/>
      <c r="D8618" s="9">
        <f t="shared" si="134"/>
        <v>0</v>
      </c>
      <c r="E8618" s="11"/>
      <c r="F8618" s="9" t="s">
        <v>7</v>
      </c>
    </row>
    <row r="8619" s="1" customFormat="1" customHeight="1" spans="1:6">
      <c r="A8619" s="9" t="str">
        <f>"10360828807"</f>
        <v>10360828807</v>
      </c>
      <c r="B8619" s="10">
        <v>0</v>
      </c>
      <c r="C8619" s="9"/>
      <c r="D8619" s="9">
        <f t="shared" si="134"/>
        <v>0</v>
      </c>
      <c r="E8619" s="11"/>
      <c r="F8619" s="9" t="s">
        <v>7</v>
      </c>
    </row>
    <row r="8620" s="1" customFormat="1" customHeight="1" spans="1:6">
      <c r="A8620" s="9" t="str">
        <f>"10430828808"</f>
        <v>10430828808</v>
      </c>
      <c r="B8620" s="10">
        <v>45.63</v>
      </c>
      <c r="C8620" s="9"/>
      <c r="D8620" s="9">
        <f t="shared" si="134"/>
        <v>45.63</v>
      </c>
      <c r="E8620" s="11"/>
      <c r="F8620" s="9"/>
    </row>
    <row r="8621" s="1" customFormat="1" customHeight="1" spans="1:6">
      <c r="A8621" s="9" t="str">
        <f>"10430828809"</f>
        <v>10430828809</v>
      </c>
      <c r="B8621" s="10">
        <v>40.94</v>
      </c>
      <c r="C8621" s="9"/>
      <c r="D8621" s="9">
        <f t="shared" si="134"/>
        <v>40.94</v>
      </c>
      <c r="E8621" s="11"/>
      <c r="F8621" s="9"/>
    </row>
    <row r="8622" s="1" customFormat="1" customHeight="1" spans="1:6">
      <c r="A8622" s="9" t="str">
        <f>"10200828810"</f>
        <v>10200828810</v>
      </c>
      <c r="B8622" s="10">
        <v>48.05</v>
      </c>
      <c r="C8622" s="9"/>
      <c r="D8622" s="9">
        <f t="shared" si="134"/>
        <v>48.05</v>
      </c>
      <c r="E8622" s="11"/>
      <c r="F8622" s="9"/>
    </row>
    <row r="8623" s="1" customFormat="1" customHeight="1" spans="1:6">
      <c r="A8623" s="9" t="str">
        <f>"10360828811"</f>
        <v>10360828811</v>
      </c>
      <c r="B8623" s="10">
        <v>40.79</v>
      </c>
      <c r="C8623" s="9"/>
      <c r="D8623" s="9">
        <f t="shared" si="134"/>
        <v>40.79</v>
      </c>
      <c r="E8623" s="11"/>
      <c r="F8623" s="9"/>
    </row>
    <row r="8624" s="1" customFormat="1" customHeight="1" spans="1:6">
      <c r="A8624" s="9" t="str">
        <f>"10530828812"</f>
        <v>10530828812</v>
      </c>
      <c r="B8624" s="10">
        <v>0</v>
      </c>
      <c r="C8624" s="9"/>
      <c r="D8624" s="9">
        <f t="shared" si="134"/>
        <v>0</v>
      </c>
      <c r="E8624" s="11"/>
      <c r="F8624" s="9" t="s">
        <v>7</v>
      </c>
    </row>
    <row r="8625" s="1" customFormat="1" customHeight="1" spans="1:6">
      <c r="A8625" s="9" t="str">
        <f>"10200828813"</f>
        <v>10200828813</v>
      </c>
      <c r="B8625" s="10">
        <v>0</v>
      </c>
      <c r="C8625" s="9"/>
      <c r="D8625" s="9">
        <f t="shared" si="134"/>
        <v>0</v>
      </c>
      <c r="E8625" s="11"/>
      <c r="F8625" s="9" t="s">
        <v>7</v>
      </c>
    </row>
    <row r="8626" s="1" customFormat="1" customHeight="1" spans="1:6">
      <c r="A8626" s="9" t="str">
        <f>"10130828814"</f>
        <v>10130828814</v>
      </c>
      <c r="B8626" s="10">
        <v>40.73</v>
      </c>
      <c r="C8626" s="9"/>
      <c r="D8626" s="9">
        <f t="shared" si="134"/>
        <v>40.73</v>
      </c>
      <c r="E8626" s="11"/>
      <c r="F8626" s="9"/>
    </row>
    <row r="8627" s="1" customFormat="1" customHeight="1" spans="1:6">
      <c r="A8627" s="9" t="str">
        <f>"10110828815"</f>
        <v>10110828815</v>
      </c>
      <c r="B8627" s="10">
        <v>45.63</v>
      </c>
      <c r="C8627" s="9"/>
      <c r="D8627" s="9">
        <f t="shared" si="134"/>
        <v>45.63</v>
      </c>
      <c r="E8627" s="11"/>
      <c r="F8627" s="9"/>
    </row>
    <row r="8628" s="1" customFormat="1" customHeight="1" spans="1:6">
      <c r="A8628" s="9" t="str">
        <f>"10360828816"</f>
        <v>10360828816</v>
      </c>
      <c r="B8628" s="10">
        <v>35.94</v>
      </c>
      <c r="C8628" s="9"/>
      <c r="D8628" s="9">
        <f t="shared" si="134"/>
        <v>35.94</v>
      </c>
      <c r="E8628" s="11"/>
      <c r="F8628" s="9"/>
    </row>
    <row r="8629" s="1" customFormat="1" customHeight="1" spans="1:6">
      <c r="A8629" s="9" t="str">
        <f>"10020828817"</f>
        <v>10020828817</v>
      </c>
      <c r="B8629" s="10">
        <v>0</v>
      </c>
      <c r="C8629" s="9"/>
      <c r="D8629" s="9">
        <f t="shared" si="134"/>
        <v>0</v>
      </c>
      <c r="E8629" s="11"/>
      <c r="F8629" s="9" t="s">
        <v>7</v>
      </c>
    </row>
    <row r="8630" s="1" customFormat="1" customHeight="1" spans="1:6">
      <c r="A8630" s="9" t="str">
        <f>"10330828818"</f>
        <v>10330828818</v>
      </c>
      <c r="B8630" s="10">
        <v>51.57</v>
      </c>
      <c r="C8630" s="9"/>
      <c r="D8630" s="9">
        <f t="shared" si="134"/>
        <v>51.57</v>
      </c>
      <c r="E8630" s="11"/>
      <c r="F8630" s="9"/>
    </row>
    <row r="8631" s="1" customFormat="1" customHeight="1" spans="1:6">
      <c r="A8631" s="9" t="str">
        <f>"10210828819"</f>
        <v>10210828819</v>
      </c>
      <c r="B8631" s="10">
        <v>44.13</v>
      </c>
      <c r="C8631" s="9"/>
      <c r="D8631" s="9">
        <f t="shared" si="134"/>
        <v>44.13</v>
      </c>
      <c r="E8631" s="11"/>
      <c r="F8631" s="9"/>
    </row>
    <row r="8632" s="1" customFormat="1" customHeight="1" spans="1:6">
      <c r="A8632" s="9" t="str">
        <f>"10310828820"</f>
        <v>10310828820</v>
      </c>
      <c r="B8632" s="10">
        <v>0</v>
      </c>
      <c r="C8632" s="9"/>
      <c r="D8632" s="9">
        <f t="shared" si="134"/>
        <v>0</v>
      </c>
      <c r="E8632" s="11"/>
      <c r="F8632" s="9" t="s">
        <v>7</v>
      </c>
    </row>
    <row r="8633" s="1" customFormat="1" customHeight="1" spans="1:6">
      <c r="A8633" s="9" t="str">
        <f>"10390828821"</f>
        <v>10390828821</v>
      </c>
      <c r="B8633" s="10">
        <v>43.72</v>
      </c>
      <c r="C8633" s="9"/>
      <c r="D8633" s="9">
        <f t="shared" si="134"/>
        <v>43.72</v>
      </c>
      <c r="E8633" s="11"/>
      <c r="F8633" s="9"/>
    </row>
    <row r="8634" s="1" customFormat="1" customHeight="1" spans="1:6">
      <c r="A8634" s="9" t="str">
        <f>"10510828822"</f>
        <v>10510828822</v>
      </c>
      <c r="B8634" s="10">
        <v>33.52</v>
      </c>
      <c r="C8634" s="9"/>
      <c r="D8634" s="9">
        <f t="shared" si="134"/>
        <v>33.52</v>
      </c>
      <c r="E8634" s="11"/>
      <c r="F8634" s="9"/>
    </row>
    <row r="8635" s="1" customFormat="1" customHeight="1" spans="1:6">
      <c r="A8635" s="9" t="str">
        <f>"10530828823"</f>
        <v>10530828823</v>
      </c>
      <c r="B8635" s="10">
        <v>0</v>
      </c>
      <c r="C8635" s="9"/>
      <c r="D8635" s="9">
        <f t="shared" si="134"/>
        <v>0</v>
      </c>
      <c r="E8635" s="11"/>
      <c r="F8635" s="9" t="s">
        <v>7</v>
      </c>
    </row>
    <row r="8636" s="1" customFormat="1" customHeight="1" spans="1:6">
      <c r="A8636" s="9" t="str">
        <f>"10360828824"</f>
        <v>10360828824</v>
      </c>
      <c r="B8636" s="10">
        <v>0</v>
      </c>
      <c r="C8636" s="9"/>
      <c r="D8636" s="9">
        <f t="shared" si="134"/>
        <v>0</v>
      </c>
      <c r="E8636" s="11"/>
      <c r="F8636" s="9" t="s">
        <v>7</v>
      </c>
    </row>
    <row r="8637" s="1" customFormat="1" customHeight="1" spans="1:6">
      <c r="A8637" s="9" t="str">
        <f>"10480828825"</f>
        <v>10480828825</v>
      </c>
      <c r="B8637" s="10">
        <v>0</v>
      </c>
      <c r="C8637" s="9"/>
      <c r="D8637" s="9">
        <f t="shared" si="134"/>
        <v>0</v>
      </c>
      <c r="E8637" s="11"/>
      <c r="F8637" s="9" t="s">
        <v>7</v>
      </c>
    </row>
    <row r="8638" s="1" customFormat="1" customHeight="1" spans="1:6">
      <c r="A8638" s="9" t="str">
        <f>"10140828826"</f>
        <v>10140828826</v>
      </c>
      <c r="B8638" s="10">
        <v>0</v>
      </c>
      <c r="C8638" s="9"/>
      <c r="D8638" s="9">
        <f t="shared" si="134"/>
        <v>0</v>
      </c>
      <c r="E8638" s="11"/>
      <c r="F8638" s="9" t="s">
        <v>7</v>
      </c>
    </row>
    <row r="8639" s="1" customFormat="1" customHeight="1" spans="1:6">
      <c r="A8639" s="9" t="str">
        <f>"10450828827"</f>
        <v>10450828827</v>
      </c>
      <c r="B8639" s="10">
        <v>36.15</v>
      </c>
      <c r="C8639" s="9"/>
      <c r="D8639" s="9">
        <f t="shared" si="134"/>
        <v>36.15</v>
      </c>
      <c r="E8639" s="11"/>
      <c r="F8639" s="9"/>
    </row>
    <row r="8640" s="1" customFormat="1" customHeight="1" spans="1:6">
      <c r="A8640" s="9" t="str">
        <f>"10530828828"</f>
        <v>10530828828</v>
      </c>
      <c r="B8640" s="10">
        <v>0</v>
      </c>
      <c r="C8640" s="9"/>
      <c r="D8640" s="9">
        <f t="shared" si="134"/>
        <v>0</v>
      </c>
      <c r="E8640" s="11"/>
      <c r="F8640" s="9" t="s">
        <v>7</v>
      </c>
    </row>
    <row r="8641" s="1" customFormat="1" customHeight="1" spans="1:6">
      <c r="A8641" s="9" t="str">
        <f>"10400828829"</f>
        <v>10400828829</v>
      </c>
      <c r="B8641" s="10">
        <v>45.34</v>
      </c>
      <c r="C8641" s="9"/>
      <c r="D8641" s="9">
        <f t="shared" si="134"/>
        <v>45.34</v>
      </c>
      <c r="E8641" s="11"/>
      <c r="F8641" s="9"/>
    </row>
    <row r="8642" s="1" customFormat="1" customHeight="1" spans="1:6">
      <c r="A8642" s="9" t="str">
        <f>"10060828830"</f>
        <v>10060828830</v>
      </c>
      <c r="B8642" s="10">
        <v>40.87</v>
      </c>
      <c r="C8642" s="9"/>
      <c r="D8642" s="9">
        <f t="shared" si="134"/>
        <v>40.87</v>
      </c>
      <c r="E8642" s="11"/>
      <c r="F8642" s="9"/>
    </row>
    <row r="8643" s="1" customFormat="1" customHeight="1" spans="1:6">
      <c r="A8643" s="9" t="str">
        <f>"10270828901"</f>
        <v>10270828901</v>
      </c>
      <c r="B8643" s="10">
        <v>45.35</v>
      </c>
      <c r="C8643" s="9"/>
      <c r="D8643" s="9">
        <f t="shared" ref="D8643:D8706" si="135">SUM(B8643:C8643)</f>
        <v>45.35</v>
      </c>
      <c r="E8643" s="11"/>
      <c r="F8643" s="9"/>
    </row>
    <row r="8644" s="1" customFormat="1" customHeight="1" spans="1:6">
      <c r="A8644" s="9" t="str">
        <f>"10380828902"</f>
        <v>10380828902</v>
      </c>
      <c r="B8644" s="10">
        <v>0</v>
      </c>
      <c r="C8644" s="9"/>
      <c r="D8644" s="9">
        <f t="shared" si="135"/>
        <v>0</v>
      </c>
      <c r="E8644" s="11"/>
      <c r="F8644" s="9" t="s">
        <v>7</v>
      </c>
    </row>
    <row r="8645" s="1" customFormat="1" customHeight="1" spans="1:6">
      <c r="A8645" s="9" t="str">
        <f>"10210828903"</f>
        <v>10210828903</v>
      </c>
      <c r="B8645" s="10">
        <v>0</v>
      </c>
      <c r="C8645" s="9"/>
      <c r="D8645" s="9">
        <f t="shared" si="135"/>
        <v>0</v>
      </c>
      <c r="E8645" s="11"/>
      <c r="F8645" s="9" t="s">
        <v>7</v>
      </c>
    </row>
    <row r="8646" s="1" customFormat="1" customHeight="1" spans="1:6">
      <c r="A8646" s="9" t="str">
        <f>"10330828904"</f>
        <v>10330828904</v>
      </c>
      <c r="B8646" s="10">
        <v>0</v>
      </c>
      <c r="C8646" s="9"/>
      <c r="D8646" s="9">
        <f t="shared" si="135"/>
        <v>0</v>
      </c>
      <c r="E8646" s="11"/>
      <c r="F8646" s="9" t="s">
        <v>7</v>
      </c>
    </row>
    <row r="8647" s="1" customFormat="1" customHeight="1" spans="1:6">
      <c r="A8647" s="9" t="str">
        <f>"10360828905"</f>
        <v>10360828905</v>
      </c>
      <c r="B8647" s="10">
        <v>45.7</v>
      </c>
      <c r="C8647" s="9"/>
      <c r="D8647" s="9">
        <f t="shared" si="135"/>
        <v>45.7</v>
      </c>
      <c r="E8647" s="11"/>
      <c r="F8647" s="9"/>
    </row>
    <row r="8648" s="1" customFormat="1" customHeight="1" spans="1:6">
      <c r="A8648" s="9" t="str">
        <f>"10400828906"</f>
        <v>10400828906</v>
      </c>
      <c r="B8648" s="10">
        <v>32.54</v>
      </c>
      <c r="C8648" s="9"/>
      <c r="D8648" s="9">
        <f t="shared" si="135"/>
        <v>32.54</v>
      </c>
      <c r="E8648" s="11"/>
      <c r="F8648" s="9"/>
    </row>
    <row r="8649" s="1" customFormat="1" customHeight="1" spans="1:6">
      <c r="A8649" s="9" t="str">
        <f>"10060828907"</f>
        <v>10060828907</v>
      </c>
      <c r="B8649" s="10">
        <v>49.96</v>
      </c>
      <c r="C8649" s="9"/>
      <c r="D8649" s="9">
        <f t="shared" si="135"/>
        <v>49.96</v>
      </c>
      <c r="E8649" s="11"/>
      <c r="F8649" s="9"/>
    </row>
    <row r="8650" s="1" customFormat="1" customHeight="1" spans="1:6">
      <c r="A8650" s="9" t="str">
        <f>"10300828908"</f>
        <v>10300828908</v>
      </c>
      <c r="B8650" s="10">
        <v>44.27</v>
      </c>
      <c r="C8650" s="9"/>
      <c r="D8650" s="9">
        <f t="shared" si="135"/>
        <v>44.27</v>
      </c>
      <c r="E8650" s="11"/>
      <c r="F8650" s="9"/>
    </row>
    <row r="8651" s="1" customFormat="1" customHeight="1" spans="1:6">
      <c r="A8651" s="9" t="str">
        <f>"20270828909"</f>
        <v>20270828909</v>
      </c>
      <c r="B8651" s="10">
        <v>34.39</v>
      </c>
      <c r="C8651" s="9"/>
      <c r="D8651" s="9">
        <f t="shared" si="135"/>
        <v>34.39</v>
      </c>
      <c r="E8651" s="11"/>
      <c r="F8651" s="9"/>
    </row>
    <row r="8652" s="1" customFormat="1" customHeight="1" spans="1:6">
      <c r="A8652" s="9" t="str">
        <f>"10230828910"</f>
        <v>10230828910</v>
      </c>
      <c r="B8652" s="10">
        <v>33.4</v>
      </c>
      <c r="C8652" s="9"/>
      <c r="D8652" s="9">
        <f t="shared" si="135"/>
        <v>33.4</v>
      </c>
      <c r="E8652" s="11"/>
      <c r="F8652" s="9"/>
    </row>
    <row r="8653" s="1" customFormat="1" customHeight="1" spans="1:6">
      <c r="A8653" s="9" t="str">
        <f>"10270828911"</f>
        <v>10270828911</v>
      </c>
      <c r="B8653" s="10">
        <v>48.54</v>
      </c>
      <c r="C8653" s="9"/>
      <c r="D8653" s="9">
        <f t="shared" si="135"/>
        <v>48.54</v>
      </c>
      <c r="E8653" s="11"/>
      <c r="F8653" s="9"/>
    </row>
    <row r="8654" s="1" customFormat="1" customHeight="1" spans="1:6">
      <c r="A8654" s="9" t="str">
        <f>"10530828912"</f>
        <v>10530828912</v>
      </c>
      <c r="B8654" s="10">
        <v>32.15</v>
      </c>
      <c r="C8654" s="9"/>
      <c r="D8654" s="9">
        <f t="shared" si="135"/>
        <v>32.15</v>
      </c>
      <c r="E8654" s="11"/>
      <c r="F8654" s="9"/>
    </row>
    <row r="8655" s="1" customFormat="1" customHeight="1" spans="1:6">
      <c r="A8655" s="9" t="str">
        <f>"10300828913"</f>
        <v>10300828913</v>
      </c>
      <c r="B8655" s="10">
        <v>35.57</v>
      </c>
      <c r="C8655" s="9"/>
      <c r="D8655" s="9">
        <f t="shared" si="135"/>
        <v>35.57</v>
      </c>
      <c r="E8655" s="11"/>
      <c r="F8655" s="9"/>
    </row>
    <row r="8656" s="1" customFormat="1" customHeight="1" spans="1:6">
      <c r="A8656" s="9" t="str">
        <f>"10180828914"</f>
        <v>10180828914</v>
      </c>
      <c r="B8656" s="10">
        <v>36.13</v>
      </c>
      <c r="C8656" s="9"/>
      <c r="D8656" s="9">
        <f t="shared" si="135"/>
        <v>36.13</v>
      </c>
      <c r="E8656" s="11"/>
      <c r="F8656" s="9"/>
    </row>
    <row r="8657" s="1" customFormat="1" customHeight="1" spans="1:6">
      <c r="A8657" s="9" t="str">
        <f>"10470828915"</f>
        <v>10470828915</v>
      </c>
      <c r="B8657" s="10">
        <v>0</v>
      </c>
      <c r="C8657" s="9"/>
      <c r="D8657" s="9">
        <f t="shared" si="135"/>
        <v>0</v>
      </c>
      <c r="E8657" s="11"/>
      <c r="F8657" s="9" t="s">
        <v>7</v>
      </c>
    </row>
    <row r="8658" s="1" customFormat="1" customHeight="1" spans="1:6">
      <c r="A8658" s="9" t="str">
        <f>"10240828916"</f>
        <v>10240828916</v>
      </c>
      <c r="B8658" s="10">
        <v>36.66</v>
      </c>
      <c r="C8658" s="9"/>
      <c r="D8658" s="9">
        <f t="shared" si="135"/>
        <v>36.66</v>
      </c>
      <c r="E8658" s="11"/>
      <c r="F8658" s="9"/>
    </row>
    <row r="8659" s="1" customFormat="1" customHeight="1" spans="1:6">
      <c r="A8659" s="9" t="str">
        <f>"10060828917"</f>
        <v>10060828917</v>
      </c>
      <c r="B8659" s="10">
        <v>46.02</v>
      </c>
      <c r="C8659" s="9"/>
      <c r="D8659" s="9">
        <f t="shared" si="135"/>
        <v>46.02</v>
      </c>
      <c r="E8659" s="11"/>
      <c r="F8659" s="9"/>
    </row>
    <row r="8660" s="1" customFormat="1" customHeight="1" spans="1:6">
      <c r="A8660" s="9" t="str">
        <f>"10110828918"</f>
        <v>10110828918</v>
      </c>
      <c r="B8660" s="10">
        <v>59.03</v>
      </c>
      <c r="C8660" s="9"/>
      <c r="D8660" s="9">
        <f t="shared" si="135"/>
        <v>59.03</v>
      </c>
      <c r="E8660" s="11"/>
      <c r="F8660" s="9"/>
    </row>
    <row r="8661" s="1" customFormat="1" customHeight="1" spans="1:6">
      <c r="A8661" s="9" t="str">
        <f>"10200828919"</f>
        <v>10200828919</v>
      </c>
      <c r="B8661" s="10">
        <v>45.37</v>
      </c>
      <c r="C8661" s="9"/>
      <c r="D8661" s="9">
        <f t="shared" si="135"/>
        <v>45.37</v>
      </c>
      <c r="E8661" s="11"/>
      <c r="F8661" s="9"/>
    </row>
    <row r="8662" s="1" customFormat="1" customHeight="1" spans="1:6">
      <c r="A8662" s="9" t="str">
        <f>"10170828920"</f>
        <v>10170828920</v>
      </c>
      <c r="B8662" s="10">
        <v>0</v>
      </c>
      <c r="C8662" s="9"/>
      <c r="D8662" s="9">
        <f t="shared" si="135"/>
        <v>0</v>
      </c>
      <c r="E8662" s="11"/>
      <c r="F8662" s="9" t="s">
        <v>7</v>
      </c>
    </row>
    <row r="8663" s="1" customFormat="1" customHeight="1" spans="1:6">
      <c r="A8663" s="9" t="str">
        <f>"10360828921"</f>
        <v>10360828921</v>
      </c>
      <c r="B8663" s="10">
        <v>39.85</v>
      </c>
      <c r="C8663" s="9"/>
      <c r="D8663" s="9">
        <f t="shared" si="135"/>
        <v>39.85</v>
      </c>
      <c r="E8663" s="11"/>
      <c r="F8663" s="9"/>
    </row>
    <row r="8664" s="1" customFormat="1" customHeight="1" spans="1:6">
      <c r="A8664" s="9" t="str">
        <f>"10360828922"</f>
        <v>10360828922</v>
      </c>
      <c r="B8664" s="10">
        <v>0</v>
      </c>
      <c r="C8664" s="9"/>
      <c r="D8664" s="9">
        <f t="shared" si="135"/>
        <v>0</v>
      </c>
      <c r="E8664" s="11"/>
      <c r="F8664" s="9" t="s">
        <v>7</v>
      </c>
    </row>
    <row r="8665" s="1" customFormat="1" customHeight="1" spans="1:6">
      <c r="A8665" s="9" t="str">
        <f>"10140828923"</f>
        <v>10140828923</v>
      </c>
      <c r="B8665" s="10">
        <v>49.83</v>
      </c>
      <c r="C8665" s="9"/>
      <c r="D8665" s="9">
        <f t="shared" si="135"/>
        <v>49.83</v>
      </c>
      <c r="E8665" s="11"/>
      <c r="F8665" s="9"/>
    </row>
    <row r="8666" s="1" customFormat="1" customHeight="1" spans="1:6">
      <c r="A8666" s="9" t="str">
        <f>"10270828924"</f>
        <v>10270828924</v>
      </c>
      <c r="B8666" s="10">
        <v>33.47</v>
      </c>
      <c r="C8666" s="9"/>
      <c r="D8666" s="9">
        <f t="shared" si="135"/>
        <v>33.47</v>
      </c>
      <c r="E8666" s="11"/>
      <c r="F8666" s="9"/>
    </row>
    <row r="8667" s="1" customFormat="1" customHeight="1" spans="1:6">
      <c r="A8667" s="9" t="str">
        <f>"10360828925"</f>
        <v>10360828925</v>
      </c>
      <c r="B8667" s="10">
        <v>0</v>
      </c>
      <c r="C8667" s="9"/>
      <c r="D8667" s="9">
        <f t="shared" si="135"/>
        <v>0</v>
      </c>
      <c r="E8667" s="11"/>
      <c r="F8667" s="9" t="s">
        <v>7</v>
      </c>
    </row>
    <row r="8668" s="1" customFormat="1" customHeight="1" spans="1:6">
      <c r="A8668" s="9" t="str">
        <f>"10060828926"</f>
        <v>10060828926</v>
      </c>
      <c r="B8668" s="10">
        <v>0</v>
      </c>
      <c r="C8668" s="9"/>
      <c r="D8668" s="9">
        <f t="shared" si="135"/>
        <v>0</v>
      </c>
      <c r="E8668" s="11"/>
      <c r="F8668" s="9" t="s">
        <v>7</v>
      </c>
    </row>
    <row r="8669" s="1" customFormat="1" customHeight="1" spans="1:6">
      <c r="A8669" s="9" t="str">
        <f>"20270828927"</f>
        <v>20270828927</v>
      </c>
      <c r="B8669" s="10">
        <v>35.82</v>
      </c>
      <c r="C8669" s="9"/>
      <c r="D8669" s="9">
        <f t="shared" si="135"/>
        <v>35.82</v>
      </c>
      <c r="E8669" s="11"/>
      <c r="F8669" s="9"/>
    </row>
    <row r="8670" s="1" customFormat="1" customHeight="1" spans="1:6">
      <c r="A8670" s="9" t="str">
        <f>"10240828928"</f>
        <v>10240828928</v>
      </c>
      <c r="B8670" s="10">
        <v>46.45</v>
      </c>
      <c r="C8670" s="9"/>
      <c r="D8670" s="9">
        <f t="shared" si="135"/>
        <v>46.45</v>
      </c>
      <c r="E8670" s="11"/>
      <c r="F8670" s="9"/>
    </row>
    <row r="8671" s="1" customFormat="1" customHeight="1" spans="1:6">
      <c r="A8671" s="9" t="str">
        <f>"10520828929"</f>
        <v>10520828929</v>
      </c>
      <c r="B8671" s="10">
        <v>46.26</v>
      </c>
      <c r="C8671" s="9"/>
      <c r="D8671" s="9">
        <f t="shared" si="135"/>
        <v>46.26</v>
      </c>
      <c r="E8671" s="11"/>
      <c r="F8671" s="9"/>
    </row>
    <row r="8672" s="1" customFormat="1" customHeight="1" spans="1:6">
      <c r="A8672" s="9" t="str">
        <f>"10530828930"</f>
        <v>10530828930</v>
      </c>
      <c r="B8672" s="10">
        <v>40.64</v>
      </c>
      <c r="C8672" s="9"/>
      <c r="D8672" s="9">
        <f t="shared" si="135"/>
        <v>40.64</v>
      </c>
      <c r="E8672" s="11"/>
      <c r="F8672" s="9"/>
    </row>
    <row r="8673" s="1" customFormat="1" customHeight="1" spans="1:6">
      <c r="A8673" s="9" t="str">
        <f>"10060829001"</f>
        <v>10060829001</v>
      </c>
      <c r="B8673" s="10">
        <v>38.7</v>
      </c>
      <c r="C8673" s="9"/>
      <c r="D8673" s="9">
        <f t="shared" si="135"/>
        <v>38.7</v>
      </c>
      <c r="E8673" s="11"/>
      <c r="F8673" s="9"/>
    </row>
    <row r="8674" s="1" customFormat="1" customHeight="1" spans="1:6">
      <c r="A8674" s="9" t="str">
        <f>"20270829002"</f>
        <v>20270829002</v>
      </c>
      <c r="B8674" s="10">
        <v>40.39</v>
      </c>
      <c r="C8674" s="9"/>
      <c r="D8674" s="9">
        <f t="shared" si="135"/>
        <v>40.39</v>
      </c>
      <c r="E8674" s="11"/>
      <c r="F8674" s="9"/>
    </row>
    <row r="8675" s="1" customFormat="1" customHeight="1" spans="1:6">
      <c r="A8675" s="9" t="str">
        <f>"10490829003"</f>
        <v>10490829003</v>
      </c>
      <c r="B8675" s="10">
        <v>38.49</v>
      </c>
      <c r="C8675" s="9"/>
      <c r="D8675" s="9">
        <f t="shared" si="135"/>
        <v>38.49</v>
      </c>
      <c r="E8675" s="11"/>
      <c r="F8675" s="9"/>
    </row>
    <row r="8676" s="1" customFormat="1" customHeight="1" spans="1:6">
      <c r="A8676" s="9" t="str">
        <f>"10100829004"</f>
        <v>10100829004</v>
      </c>
      <c r="B8676" s="10">
        <v>42.08</v>
      </c>
      <c r="C8676" s="9"/>
      <c r="D8676" s="9">
        <f t="shared" si="135"/>
        <v>42.08</v>
      </c>
      <c r="E8676" s="11"/>
      <c r="F8676" s="9"/>
    </row>
    <row r="8677" s="1" customFormat="1" customHeight="1" spans="1:6">
      <c r="A8677" s="9" t="str">
        <f>"10360829005"</f>
        <v>10360829005</v>
      </c>
      <c r="B8677" s="10">
        <v>0</v>
      </c>
      <c r="C8677" s="9"/>
      <c r="D8677" s="9">
        <f t="shared" si="135"/>
        <v>0</v>
      </c>
      <c r="E8677" s="11"/>
      <c r="F8677" s="9" t="s">
        <v>7</v>
      </c>
    </row>
    <row r="8678" s="1" customFormat="1" customHeight="1" spans="1:6">
      <c r="A8678" s="9" t="str">
        <f>"10110829006"</f>
        <v>10110829006</v>
      </c>
      <c r="B8678" s="10">
        <v>50.68</v>
      </c>
      <c r="C8678" s="9"/>
      <c r="D8678" s="9">
        <f t="shared" si="135"/>
        <v>50.68</v>
      </c>
      <c r="E8678" s="11"/>
      <c r="F8678" s="9"/>
    </row>
    <row r="8679" s="1" customFormat="1" customHeight="1" spans="1:6">
      <c r="A8679" s="9" t="str">
        <f>"10100829007"</f>
        <v>10100829007</v>
      </c>
      <c r="B8679" s="10">
        <v>39.65</v>
      </c>
      <c r="C8679" s="9"/>
      <c r="D8679" s="9">
        <f t="shared" si="135"/>
        <v>39.65</v>
      </c>
      <c r="E8679" s="11"/>
      <c r="F8679" s="9"/>
    </row>
    <row r="8680" s="1" customFormat="1" customHeight="1" spans="1:6">
      <c r="A8680" s="9" t="str">
        <f>"10170829008"</f>
        <v>10170829008</v>
      </c>
      <c r="B8680" s="10">
        <v>42.33</v>
      </c>
      <c r="C8680" s="9"/>
      <c r="D8680" s="9">
        <f t="shared" si="135"/>
        <v>42.33</v>
      </c>
      <c r="E8680" s="11"/>
      <c r="F8680" s="9"/>
    </row>
    <row r="8681" s="1" customFormat="1" customHeight="1" spans="1:6">
      <c r="A8681" s="9" t="str">
        <f>"10110829009"</f>
        <v>10110829009</v>
      </c>
      <c r="B8681" s="10">
        <v>42.63</v>
      </c>
      <c r="C8681" s="9"/>
      <c r="D8681" s="9">
        <f t="shared" si="135"/>
        <v>42.63</v>
      </c>
      <c r="E8681" s="11"/>
      <c r="F8681" s="9"/>
    </row>
    <row r="8682" s="1" customFormat="1" customHeight="1" spans="1:6">
      <c r="A8682" s="9" t="str">
        <f>"10210829010"</f>
        <v>10210829010</v>
      </c>
      <c r="B8682" s="10">
        <v>0</v>
      </c>
      <c r="C8682" s="9"/>
      <c r="D8682" s="9">
        <f t="shared" si="135"/>
        <v>0</v>
      </c>
      <c r="E8682" s="11"/>
      <c r="F8682" s="9" t="s">
        <v>7</v>
      </c>
    </row>
    <row r="8683" s="1" customFormat="1" customHeight="1" spans="1:6">
      <c r="A8683" s="9" t="str">
        <f>"10530829011"</f>
        <v>10530829011</v>
      </c>
      <c r="B8683" s="10">
        <v>34.58</v>
      </c>
      <c r="C8683" s="9"/>
      <c r="D8683" s="9">
        <f t="shared" si="135"/>
        <v>34.58</v>
      </c>
      <c r="E8683" s="11"/>
      <c r="F8683" s="9"/>
    </row>
    <row r="8684" s="1" customFormat="1" customHeight="1" spans="1:6">
      <c r="A8684" s="9" t="str">
        <f>"10210829012"</f>
        <v>10210829012</v>
      </c>
      <c r="B8684" s="10">
        <v>41.6</v>
      </c>
      <c r="C8684" s="9"/>
      <c r="D8684" s="9">
        <f t="shared" si="135"/>
        <v>41.6</v>
      </c>
      <c r="E8684" s="11"/>
      <c r="F8684" s="9"/>
    </row>
    <row r="8685" s="1" customFormat="1" customHeight="1" spans="1:6">
      <c r="A8685" s="9" t="str">
        <f>"10060829013"</f>
        <v>10060829013</v>
      </c>
      <c r="B8685" s="10">
        <v>0</v>
      </c>
      <c r="C8685" s="9"/>
      <c r="D8685" s="9">
        <f t="shared" si="135"/>
        <v>0</v>
      </c>
      <c r="E8685" s="11"/>
      <c r="F8685" s="9" t="s">
        <v>7</v>
      </c>
    </row>
    <row r="8686" s="1" customFormat="1" customHeight="1" spans="1:6">
      <c r="A8686" s="9" t="str">
        <f>"10360829014"</f>
        <v>10360829014</v>
      </c>
      <c r="B8686" s="10">
        <v>35.51</v>
      </c>
      <c r="C8686" s="9"/>
      <c r="D8686" s="9">
        <f t="shared" si="135"/>
        <v>35.51</v>
      </c>
      <c r="E8686" s="11"/>
      <c r="F8686" s="9"/>
    </row>
    <row r="8687" s="1" customFormat="1" customHeight="1" spans="1:6">
      <c r="A8687" s="9" t="str">
        <f>"10360829015"</f>
        <v>10360829015</v>
      </c>
      <c r="B8687" s="10">
        <v>0</v>
      </c>
      <c r="C8687" s="9"/>
      <c r="D8687" s="9">
        <f t="shared" si="135"/>
        <v>0</v>
      </c>
      <c r="E8687" s="11"/>
      <c r="F8687" s="9" t="s">
        <v>7</v>
      </c>
    </row>
    <row r="8688" s="1" customFormat="1" customHeight="1" spans="1:6">
      <c r="A8688" s="9" t="str">
        <f>"10460829016"</f>
        <v>10460829016</v>
      </c>
      <c r="B8688" s="10">
        <v>54.42</v>
      </c>
      <c r="C8688" s="9"/>
      <c r="D8688" s="9">
        <f t="shared" si="135"/>
        <v>54.42</v>
      </c>
      <c r="E8688" s="11"/>
      <c r="F8688" s="9"/>
    </row>
    <row r="8689" s="1" customFormat="1" customHeight="1" spans="1:6">
      <c r="A8689" s="9" t="str">
        <f>"10230829017"</f>
        <v>10230829017</v>
      </c>
      <c r="B8689" s="10">
        <v>37.01</v>
      </c>
      <c r="C8689" s="9"/>
      <c r="D8689" s="9">
        <f t="shared" si="135"/>
        <v>37.01</v>
      </c>
      <c r="E8689" s="11"/>
      <c r="F8689" s="9"/>
    </row>
    <row r="8690" s="1" customFormat="1" customHeight="1" spans="1:6">
      <c r="A8690" s="9" t="str">
        <f>"10300829018"</f>
        <v>10300829018</v>
      </c>
      <c r="B8690" s="10">
        <v>31.36</v>
      </c>
      <c r="C8690" s="9"/>
      <c r="D8690" s="9">
        <f t="shared" si="135"/>
        <v>31.36</v>
      </c>
      <c r="E8690" s="11"/>
      <c r="F8690" s="9"/>
    </row>
    <row r="8691" s="1" customFormat="1" customHeight="1" spans="1:6">
      <c r="A8691" s="9" t="str">
        <f>"10170829019"</f>
        <v>10170829019</v>
      </c>
      <c r="B8691" s="10">
        <v>35.78</v>
      </c>
      <c r="C8691" s="9"/>
      <c r="D8691" s="9">
        <f t="shared" si="135"/>
        <v>35.78</v>
      </c>
      <c r="E8691" s="11"/>
      <c r="F8691" s="9"/>
    </row>
    <row r="8692" s="1" customFormat="1" customHeight="1" spans="1:6">
      <c r="A8692" s="9" t="str">
        <f>"10060829020"</f>
        <v>10060829020</v>
      </c>
      <c r="B8692" s="10">
        <v>45.56</v>
      </c>
      <c r="C8692" s="9"/>
      <c r="D8692" s="9">
        <f t="shared" si="135"/>
        <v>45.56</v>
      </c>
      <c r="E8692" s="11"/>
      <c r="F8692" s="9"/>
    </row>
    <row r="8693" s="1" customFormat="1" customHeight="1" spans="1:6">
      <c r="A8693" s="9" t="str">
        <f>"10210829021"</f>
        <v>10210829021</v>
      </c>
      <c r="B8693" s="10">
        <v>0</v>
      </c>
      <c r="C8693" s="9"/>
      <c r="D8693" s="9">
        <f t="shared" si="135"/>
        <v>0</v>
      </c>
      <c r="E8693" s="11"/>
      <c r="F8693" s="9" t="s">
        <v>7</v>
      </c>
    </row>
    <row r="8694" s="1" customFormat="1" customHeight="1" spans="1:6">
      <c r="A8694" s="9" t="str">
        <f>"10180829022"</f>
        <v>10180829022</v>
      </c>
      <c r="B8694" s="10">
        <v>45.66</v>
      </c>
      <c r="C8694" s="9"/>
      <c r="D8694" s="9">
        <f t="shared" si="135"/>
        <v>45.66</v>
      </c>
      <c r="E8694" s="11"/>
      <c r="F8694" s="9"/>
    </row>
    <row r="8695" s="1" customFormat="1" customHeight="1" spans="1:6">
      <c r="A8695" s="9" t="str">
        <f>"10160829023"</f>
        <v>10160829023</v>
      </c>
      <c r="B8695" s="10">
        <v>37.94</v>
      </c>
      <c r="C8695" s="9"/>
      <c r="D8695" s="9">
        <f t="shared" si="135"/>
        <v>37.94</v>
      </c>
      <c r="E8695" s="11"/>
      <c r="F8695" s="9"/>
    </row>
    <row r="8696" s="1" customFormat="1" customHeight="1" spans="1:6">
      <c r="A8696" s="9" t="str">
        <f>"10530829024"</f>
        <v>10530829024</v>
      </c>
      <c r="B8696" s="10">
        <v>29.79</v>
      </c>
      <c r="C8696" s="9"/>
      <c r="D8696" s="9">
        <f t="shared" si="135"/>
        <v>29.79</v>
      </c>
      <c r="E8696" s="11"/>
      <c r="F8696" s="9"/>
    </row>
    <row r="8697" s="1" customFormat="1" customHeight="1" spans="1:6">
      <c r="A8697" s="9" t="str">
        <f>"10210829025"</f>
        <v>10210829025</v>
      </c>
      <c r="B8697" s="10">
        <v>0</v>
      </c>
      <c r="C8697" s="9"/>
      <c r="D8697" s="9">
        <f t="shared" si="135"/>
        <v>0</v>
      </c>
      <c r="E8697" s="11"/>
      <c r="F8697" s="9" t="s">
        <v>7</v>
      </c>
    </row>
    <row r="8698" s="1" customFormat="1" customHeight="1" spans="1:6">
      <c r="A8698" s="9" t="str">
        <f>"10080829026"</f>
        <v>10080829026</v>
      </c>
      <c r="B8698" s="10">
        <v>26.07</v>
      </c>
      <c r="C8698" s="9"/>
      <c r="D8698" s="9">
        <f t="shared" si="135"/>
        <v>26.07</v>
      </c>
      <c r="E8698" s="11"/>
      <c r="F8698" s="9"/>
    </row>
    <row r="8699" s="1" customFormat="1" customHeight="1" spans="1:6">
      <c r="A8699" s="9" t="str">
        <f>"10330829027"</f>
        <v>10330829027</v>
      </c>
      <c r="B8699" s="10">
        <v>0</v>
      </c>
      <c r="C8699" s="9"/>
      <c r="D8699" s="9">
        <f t="shared" si="135"/>
        <v>0</v>
      </c>
      <c r="E8699" s="11"/>
      <c r="F8699" s="9" t="s">
        <v>7</v>
      </c>
    </row>
    <row r="8700" s="1" customFormat="1" customHeight="1" spans="1:6">
      <c r="A8700" s="9" t="str">
        <f>"10530829028"</f>
        <v>10530829028</v>
      </c>
      <c r="B8700" s="10">
        <v>40.33</v>
      </c>
      <c r="C8700" s="9"/>
      <c r="D8700" s="9">
        <f t="shared" si="135"/>
        <v>40.33</v>
      </c>
      <c r="E8700" s="11"/>
      <c r="F8700" s="9"/>
    </row>
    <row r="8701" s="1" customFormat="1" customHeight="1" spans="1:6">
      <c r="A8701" s="9" t="str">
        <f>"10240829029"</f>
        <v>10240829029</v>
      </c>
      <c r="B8701" s="10">
        <v>34.33</v>
      </c>
      <c r="C8701" s="9"/>
      <c r="D8701" s="9">
        <f t="shared" si="135"/>
        <v>34.33</v>
      </c>
      <c r="E8701" s="11"/>
      <c r="F8701" s="9"/>
    </row>
    <row r="8702" s="1" customFormat="1" customHeight="1" spans="1:6">
      <c r="A8702" s="9" t="str">
        <f>"10160829030"</f>
        <v>10160829030</v>
      </c>
      <c r="B8702" s="10">
        <v>40.3</v>
      </c>
      <c r="C8702" s="9"/>
      <c r="D8702" s="9">
        <f t="shared" si="135"/>
        <v>40.3</v>
      </c>
      <c r="E8702" s="11"/>
      <c r="F8702" s="9"/>
    </row>
    <row r="8703" s="1" customFormat="1" customHeight="1" spans="1:6">
      <c r="A8703" s="9" t="str">
        <f>"10500829101"</f>
        <v>10500829101</v>
      </c>
      <c r="B8703" s="10">
        <v>0</v>
      </c>
      <c r="C8703" s="9"/>
      <c r="D8703" s="9">
        <f t="shared" si="135"/>
        <v>0</v>
      </c>
      <c r="E8703" s="11"/>
      <c r="F8703" s="9" t="s">
        <v>7</v>
      </c>
    </row>
    <row r="8704" s="1" customFormat="1" customHeight="1" spans="1:6">
      <c r="A8704" s="9" t="str">
        <f>"10510829102"</f>
        <v>10510829102</v>
      </c>
      <c r="B8704" s="10">
        <v>29.5</v>
      </c>
      <c r="C8704" s="9"/>
      <c r="D8704" s="9">
        <f t="shared" si="135"/>
        <v>29.5</v>
      </c>
      <c r="E8704" s="11"/>
      <c r="F8704" s="9"/>
    </row>
    <row r="8705" s="1" customFormat="1" customHeight="1" spans="1:6">
      <c r="A8705" s="9" t="str">
        <f>"10060829103"</f>
        <v>10060829103</v>
      </c>
      <c r="B8705" s="10">
        <v>37.37</v>
      </c>
      <c r="C8705" s="9"/>
      <c r="D8705" s="9">
        <f t="shared" si="135"/>
        <v>37.37</v>
      </c>
      <c r="E8705" s="11"/>
      <c r="F8705" s="9"/>
    </row>
    <row r="8706" s="1" customFormat="1" customHeight="1" spans="1:6">
      <c r="A8706" s="9" t="str">
        <f>"10410829104"</f>
        <v>10410829104</v>
      </c>
      <c r="B8706" s="10">
        <v>0</v>
      </c>
      <c r="C8706" s="9"/>
      <c r="D8706" s="9">
        <f t="shared" si="135"/>
        <v>0</v>
      </c>
      <c r="E8706" s="11"/>
      <c r="F8706" s="9" t="s">
        <v>7</v>
      </c>
    </row>
    <row r="8707" s="1" customFormat="1" customHeight="1" spans="1:6">
      <c r="A8707" s="9" t="str">
        <f>"10060829105"</f>
        <v>10060829105</v>
      </c>
      <c r="B8707" s="10">
        <v>38.58</v>
      </c>
      <c r="C8707" s="9"/>
      <c r="D8707" s="9">
        <f t="shared" ref="D8707:D8770" si="136">SUM(B8707:C8707)</f>
        <v>38.58</v>
      </c>
      <c r="E8707" s="11"/>
      <c r="F8707" s="9"/>
    </row>
    <row r="8708" s="1" customFormat="1" customHeight="1" spans="1:6">
      <c r="A8708" s="9" t="str">
        <f>"10360829106"</f>
        <v>10360829106</v>
      </c>
      <c r="B8708" s="10">
        <v>37.2</v>
      </c>
      <c r="C8708" s="9"/>
      <c r="D8708" s="9">
        <f t="shared" si="136"/>
        <v>37.2</v>
      </c>
      <c r="E8708" s="11"/>
      <c r="F8708" s="9"/>
    </row>
    <row r="8709" s="1" customFormat="1" customHeight="1" spans="1:6">
      <c r="A8709" s="9" t="str">
        <f>"10360829107"</f>
        <v>10360829107</v>
      </c>
      <c r="B8709" s="10">
        <v>35.27</v>
      </c>
      <c r="C8709" s="9"/>
      <c r="D8709" s="9">
        <f t="shared" si="136"/>
        <v>35.27</v>
      </c>
      <c r="E8709" s="11"/>
      <c r="F8709" s="9"/>
    </row>
    <row r="8710" s="1" customFormat="1" customHeight="1" spans="1:6">
      <c r="A8710" s="9" t="str">
        <f>"10330829108"</f>
        <v>10330829108</v>
      </c>
      <c r="B8710" s="10">
        <v>0</v>
      </c>
      <c r="C8710" s="9"/>
      <c r="D8710" s="9">
        <f t="shared" si="136"/>
        <v>0</v>
      </c>
      <c r="E8710" s="11"/>
      <c r="F8710" s="9" t="s">
        <v>7</v>
      </c>
    </row>
    <row r="8711" s="1" customFormat="1" customHeight="1" spans="1:6">
      <c r="A8711" s="9" t="str">
        <f>"10360829109"</f>
        <v>10360829109</v>
      </c>
      <c r="B8711" s="10">
        <v>34.11</v>
      </c>
      <c r="C8711" s="9"/>
      <c r="D8711" s="9">
        <f t="shared" si="136"/>
        <v>34.11</v>
      </c>
      <c r="E8711" s="11"/>
      <c r="F8711" s="9"/>
    </row>
    <row r="8712" s="1" customFormat="1" customHeight="1" spans="1:6">
      <c r="A8712" s="9" t="str">
        <f>"10060829110"</f>
        <v>10060829110</v>
      </c>
      <c r="B8712" s="10">
        <v>40.82</v>
      </c>
      <c r="C8712" s="9"/>
      <c r="D8712" s="9">
        <f t="shared" si="136"/>
        <v>40.82</v>
      </c>
      <c r="E8712" s="11"/>
      <c r="F8712" s="9"/>
    </row>
    <row r="8713" s="1" customFormat="1" customHeight="1" spans="1:6">
      <c r="A8713" s="9" t="str">
        <f>"10360829111"</f>
        <v>10360829111</v>
      </c>
      <c r="B8713" s="10">
        <v>37.22</v>
      </c>
      <c r="C8713" s="9"/>
      <c r="D8713" s="9">
        <f t="shared" si="136"/>
        <v>37.22</v>
      </c>
      <c r="E8713" s="11"/>
      <c r="F8713" s="9"/>
    </row>
    <row r="8714" s="1" customFormat="1" customHeight="1" spans="1:6">
      <c r="A8714" s="9" t="str">
        <f>"10210829112"</f>
        <v>10210829112</v>
      </c>
      <c r="B8714" s="10">
        <v>37.24</v>
      </c>
      <c r="C8714" s="9">
        <v>10</v>
      </c>
      <c r="D8714" s="9">
        <f t="shared" si="136"/>
        <v>47.24</v>
      </c>
      <c r="E8714" s="12" t="s">
        <v>8</v>
      </c>
      <c r="F8714" s="9"/>
    </row>
    <row r="8715" s="1" customFormat="1" customHeight="1" spans="1:6">
      <c r="A8715" s="9" t="str">
        <f>"10360829113"</f>
        <v>10360829113</v>
      </c>
      <c r="B8715" s="10">
        <v>0</v>
      </c>
      <c r="C8715" s="9"/>
      <c r="D8715" s="9">
        <f t="shared" si="136"/>
        <v>0</v>
      </c>
      <c r="E8715" s="11"/>
      <c r="F8715" s="9" t="s">
        <v>7</v>
      </c>
    </row>
    <row r="8716" s="1" customFormat="1" customHeight="1" spans="1:6">
      <c r="A8716" s="9" t="str">
        <f>"10060829114"</f>
        <v>10060829114</v>
      </c>
      <c r="B8716" s="10">
        <v>42.27</v>
      </c>
      <c r="C8716" s="9"/>
      <c r="D8716" s="9">
        <f t="shared" si="136"/>
        <v>42.27</v>
      </c>
      <c r="E8716" s="11"/>
      <c r="F8716" s="9"/>
    </row>
    <row r="8717" s="1" customFormat="1" customHeight="1" spans="1:6">
      <c r="A8717" s="9" t="str">
        <f>"10530829115"</f>
        <v>10530829115</v>
      </c>
      <c r="B8717" s="10">
        <v>44.62</v>
      </c>
      <c r="C8717" s="9"/>
      <c r="D8717" s="9">
        <f t="shared" si="136"/>
        <v>44.62</v>
      </c>
      <c r="E8717" s="11"/>
      <c r="F8717" s="9"/>
    </row>
    <row r="8718" s="1" customFormat="1" customHeight="1" spans="1:6">
      <c r="A8718" s="9" t="str">
        <f>"10060829116"</f>
        <v>10060829116</v>
      </c>
      <c r="B8718" s="10">
        <v>31.89</v>
      </c>
      <c r="C8718" s="9"/>
      <c r="D8718" s="9">
        <f t="shared" si="136"/>
        <v>31.89</v>
      </c>
      <c r="E8718" s="11"/>
      <c r="F8718" s="9"/>
    </row>
    <row r="8719" s="1" customFormat="1" customHeight="1" spans="1:6">
      <c r="A8719" s="9" t="str">
        <f>"10440829117"</f>
        <v>10440829117</v>
      </c>
      <c r="B8719" s="10">
        <v>0</v>
      </c>
      <c r="C8719" s="9"/>
      <c r="D8719" s="9">
        <f t="shared" si="136"/>
        <v>0</v>
      </c>
      <c r="E8719" s="11"/>
      <c r="F8719" s="9" t="s">
        <v>7</v>
      </c>
    </row>
    <row r="8720" s="1" customFormat="1" customHeight="1" spans="1:6">
      <c r="A8720" s="9" t="str">
        <f>"10530829118"</f>
        <v>10530829118</v>
      </c>
      <c r="B8720" s="10">
        <v>54.04</v>
      </c>
      <c r="C8720" s="9"/>
      <c r="D8720" s="9">
        <f t="shared" si="136"/>
        <v>54.04</v>
      </c>
      <c r="E8720" s="11"/>
      <c r="F8720" s="9"/>
    </row>
    <row r="8721" s="1" customFormat="1" customHeight="1" spans="1:6">
      <c r="A8721" s="9" t="str">
        <f>"10240829119"</f>
        <v>10240829119</v>
      </c>
      <c r="B8721" s="10">
        <v>38.4</v>
      </c>
      <c r="C8721" s="9"/>
      <c r="D8721" s="9">
        <f t="shared" si="136"/>
        <v>38.4</v>
      </c>
      <c r="E8721" s="11"/>
      <c r="F8721" s="9"/>
    </row>
    <row r="8722" s="1" customFormat="1" customHeight="1" spans="1:6">
      <c r="A8722" s="9" t="str">
        <f>"10160829120"</f>
        <v>10160829120</v>
      </c>
      <c r="B8722" s="10">
        <v>38.31</v>
      </c>
      <c r="C8722" s="9"/>
      <c r="D8722" s="9">
        <f t="shared" si="136"/>
        <v>38.31</v>
      </c>
      <c r="E8722" s="11"/>
      <c r="F8722" s="9"/>
    </row>
    <row r="8723" s="1" customFormat="1" customHeight="1" spans="1:6">
      <c r="A8723" s="9" t="str">
        <f>"10500829121"</f>
        <v>10500829121</v>
      </c>
      <c r="B8723" s="10">
        <v>0</v>
      </c>
      <c r="C8723" s="9"/>
      <c r="D8723" s="9">
        <f t="shared" si="136"/>
        <v>0</v>
      </c>
      <c r="E8723" s="11"/>
      <c r="F8723" s="9" t="s">
        <v>7</v>
      </c>
    </row>
    <row r="8724" s="1" customFormat="1" customHeight="1" spans="1:6">
      <c r="A8724" s="9" t="str">
        <f>"10360829122"</f>
        <v>10360829122</v>
      </c>
      <c r="B8724" s="10">
        <v>0</v>
      </c>
      <c r="C8724" s="9"/>
      <c r="D8724" s="9">
        <f t="shared" si="136"/>
        <v>0</v>
      </c>
      <c r="E8724" s="11"/>
      <c r="F8724" s="9" t="s">
        <v>7</v>
      </c>
    </row>
    <row r="8725" s="1" customFormat="1" customHeight="1" spans="1:6">
      <c r="A8725" s="9" t="str">
        <f>"10530829123"</f>
        <v>10530829123</v>
      </c>
      <c r="B8725" s="10">
        <v>45.41</v>
      </c>
      <c r="C8725" s="9"/>
      <c r="D8725" s="9">
        <f t="shared" si="136"/>
        <v>45.41</v>
      </c>
      <c r="E8725" s="11"/>
      <c r="F8725" s="9"/>
    </row>
    <row r="8726" s="1" customFormat="1" customHeight="1" spans="1:6">
      <c r="A8726" s="9" t="str">
        <f>"10290829124"</f>
        <v>10290829124</v>
      </c>
      <c r="B8726" s="10">
        <v>47.33</v>
      </c>
      <c r="C8726" s="9"/>
      <c r="D8726" s="9">
        <f t="shared" si="136"/>
        <v>47.33</v>
      </c>
      <c r="E8726" s="11"/>
      <c r="F8726" s="9"/>
    </row>
    <row r="8727" s="1" customFormat="1" customHeight="1" spans="1:6">
      <c r="A8727" s="9" t="str">
        <f>"10060829125"</f>
        <v>10060829125</v>
      </c>
      <c r="B8727" s="10">
        <v>0</v>
      </c>
      <c r="C8727" s="9"/>
      <c r="D8727" s="9">
        <f t="shared" si="136"/>
        <v>0</v>
      </c>
      <c r="E8727" s="11"/>
      <c r="F8727" s="9" t="s">
        <v>7</v>
      </c>
    </row>
    <row r="8728" s="1" customFormat="1" customHeight="1" spans="1:6">
      <c r="A8728" s="9" t="str">
        <f>"10500829126"</f>
        <v>10500829126</v>
      </c>
      <c r="B8728" s="10">
        <v>34.08</v>
      </c>
      <c r="C8728" s="9">
        <v>10</v>
      </c>
      <c r="D8728" s="9">
        <f t="shared" si="136"/>
        <v>44.08</v>
      </c>
      <c r="E8728" s="12" t="s">
        <v>8</v>
      </c>
      <c r="F8728" s="9"/>
    </row>
    <row r="8729" s="1" customFormat="1" customHeight="1" spans="1:6">
      <c r="A8729" s="9" t="str">
        <f>"10490829127"</f>
        <v>10490829127</v>
      </c>
      <c r="B8729" s="10">
        <v>0</v>
      </c>
      <c r="C8729" s="9"/>
      <c r="D8729" s="9">
        <f t="shared" si="136"/>
        <v>0</v>
      </c>
      <c r="E8729" s="11"/>
      <c r="F8729" s="9" t="s">
        <v>7</v>
      </c>
    </row>
    <row r="8730" s="1" customFormat="1" customHeight="1" spans="1:6">
      <c r="A8730" s="9" t="str">
        <f>"10060829128"</f>
        <v>10060829128</v>
      </c>
      <c r="B8730" s="10">
        <v>38.13</v>
      </c>
      <c r="C8730" s="9"/>
      <c r="D8730" s="9">
        <f t="shared" si="136"/>
        <v>38.13</v>
      </c>
      <c r="E8730" s="11"/>
      <c r="F8730" s="9"/>
    </row>
    <row r="8731" s="1" customFormat="1" customHeight="1" spans="1:6">
      <c r="A8731" s="9" t="str">
        <f>"10530829129"</f>
        <v>10530829129</v>
      </c>
      <c r="B8731" s="10">
        <v>35.34</v>
      </c>
      <c r="C8731" s="9"/>
      <c r="D8731" s="9">
        <f t="shared" si="136"/>
        <v>35.34</v>
      </c>
      <c r="E8731" s="11"/>
      <c r="F8731" s="9"/>
    </row>
    <row r="8732" s="1" customFormat="1" customHeight="1" spans="1:6">
      <c r="A8732" s="9" t="str">
        <f>"10100829130"</f>
        <v>10100829130</v>
      </c>
      <c r="B8732" s="10">
        <v>0</v>
      </c>
      <c r="C8732" s="9"/>
      <c r="D8732" s="9">
        <f t="shared" si="136"/>
        <v>0</v>
      </c>
      <c r="E8732" s="11"/>
      <c r="F8732" s="9" t="s">
        <v>7</v>
      </c>
    </row>
    <row r="8733" s="1" customFormat="1" customHeight="1" spans="1:6">
      <c r="A8733" s="9" t="str">
        <f>"10130829201"</f>
        <v>10130829201</v>
      </c>
      <c r="B8733" s="10">
        <v>40.89</v>
      </c>
      <c r="C8733" s="9"/>
      <c r="D8733" s="9">
        <f t="shared" si="136"/>
        <v>40.89</v>
      </c>
      <c r="E8733" s="11"/>
      <c r="F8733" s="9"/>
    </row>
    <row r="8734" s="1" customFormat="1" customHeight="1" spans="1:6">
      <c r="A8734" s="9" t="str">
        <f>"10240829202"</f>
        <v>10240829202</v>
      </c>
      <c r="B8734" s="10">
        <v>37.78</v>
      </c>
      <c r="C8734" s="9"/>
      <c r="D8734" s="9">
        <f t="shared" si="136"/>
        <v>37.78</v>
      </c>
      <c r="E8734" s="11"/>
      <c r="F8734" s="9"/>
    </row>
    <row r="8735" s="1" customFormat="1" customHeight="1" spans="1:6">
      <c r="A8735" s="9" t="str">
        <f>"10520829203"</f>
        <v>10520829203</v>
      </c>
      <c r="B8735" s="10">
        <v>50.86</v>
      </c>
      <c r="C8735" s="9"/>
      <c r="D8735" s="9">
        <f t="shared" si="136"/>
        <v>50.86</v>
      </c>
      <c r="E8735" s="11"/>
      <c r="F8735" s="9"/>
    </row>
    <row r="8736" s="1" customFormat="1" customHeight="1" spans="1:6">
      <c r="A8736" s="9" t="str">
        <f>"10060829204"</f>
        <v>10060829204</v>
      </c>
      <c r="B8736" s="10">
        <v>33.52</v>
      </c>
      <c r="C8736" s="9"/>
      <c r="D8736" s="9">
        <f t="shared" si="136"/>
        <v>33.52</v>
      </c>
      <c r="E8736" s="11"/>
      <c r="F8736" s="9"/>
    </row>
    <row r="8737" s="1" customFormat="1" customHeight="1" spans="1:6">
      <c r="A8737" s="9" t="str">
        <f>"10080829205"</f>
        <v>10080829205</v>
      </c>
      <c r="B8737" s="10">
        <v>37.05</v>
      </c>
      <c r="C8737" s="9"/>
      <c r="D8737" s="9">
        <f t="shared" si="136"/>
        <v>37.05</v>
      </c>
      <c r="E8737" s="11"/>
      <c r="F8737" s="9"/>
    </row>
    <row r="8738" s="1" customFormat="1" customHeight="1" spans="1:6">
      <c r="A8738" s="9" t="str">
        <f>"10440829206"</f>
        <v>10440829206</v>
      </c>
      <c r="B8738" s="10">
        <v>42.46</v>
      </c>
      <c r="C8738" s="9"/>
      <c r="D8738" s="9">
        <f t="shared" si="136"/>
        <v>42.46</v>
      </c>
      <c r="E8738" s="11"/>
      <c r="F8738" s="9"/>
    </row>
    <row r="8739" s="1" customFormat="1" customHeight="1" spans="1:6">
      <c r="A8739" s="9" t="str">
        <f>"10110829207"</f>
        <v>10110829207</v>
      </c>
      <c r="B8739" s="10">
        <v>0</v>
      </c>
      <c r="C8739" s="9"/>
      <c r="D8739" s="9">
        <f t="shared" si="136"/>
        <v>0</v>
      </c>
      <c r="E8739" s="11"/>
      <c r="F8739" s="9" t="s">
        <v>7</v>
      </c>
    </row>
    <row r="8740" s="1" customFormat="1" customHeight="1" spans="1:6">
      <c r="A8740" s="9" t="str">
        <f>"10520829208"</f>
        <v>10520829208</v>
      </c>
      <c r="B8740" s="10">
        <v>38.12</v>
      </c>
      <c r="C8740" s="9">
        <v>10</v>
      </c>
      <c r="D8740" s="9">
        <f t="shared" si="136"/>
        <v>48.12</v>
      </c>
      <c r="E8740" s="12" t="s">
        <v>8</v>
      </c>
      <c r="F8740" s="9"/>
    </row>
    <row r="8741" s="1" customFormat="1" customHeight="1" spans="1:6">
      <c r="A8741" s="9" t="str">
        <f>"10530829209"</f>
        <v>10530829209</v>
      </c>
      <c r="B8741" s="10">
        <v>0</v>
      </c>
      <c r="C8741" s="9"/>
      <c r="D8741" s="9">
        <f t="shared" si="136"/>
        <v>0</v>
      </c>
      <c r="E8741" s="11"/>
      <c r="F8741" s="9" t="s">
        <v>7</v>
      </c>
    </row>
    <row r="8742" s="1" customFormat="1" customHeight="1" spans="1:6">
      <c r="A8742" s="9" t="str">
        <f>"10360829210"</f>
        <v>10360829210</v>
      </c>
      <c r="B8742" s="10">
        <v>37.65</v>
      </c>
      <c r="C8742" s="9"/>
      <c r="D8742" s="9">
        <f t="shared" si="136"/>
        <v>37.65</v>
      </c>
      <c r="E8742" s="11"/>
      <c r="F8742" s="9"/>
    </row>
    <row r="8743" s="1" customFormat="1" customHeight="1" spans="1:6">
      <c r="A8743" s="9" t="str">
        <f>"10440829211"</f>
        <v>10440829211</v>
      </c>
      <c r="B8743" s="10">
        <v>44.26</v>
      </c>
      <c r="C8743" s="9"/>
      <c r="D8743" s="9">
        <f t="shared" si="136"/>
        <v>44.26</v>
      </c>
      <c r="E8743" s="11"/>
      <c r="F8743" s="9"/>
    </row>
    <row r="8744" s="1" customFormat="1" customHeight="1" spans="1:6">
      <c r="A8744" s="9" t="str">
        <f>"20180829212"</f>
        <v>20180829212</v>
      </c>
      <c r="B8744" s="10">
        <v>36.06</v>
      </c>
      <c r="C8744" s="9"/>
      <c r="D8744" s="9">
        <f t="shared" si="136"/>
        <v>36.06</v>
      </c>
      <c r="E8744" s="11"/>
      <c r="F8744" s="9"/>
    </row>
    <row r="8745" s="1" customFormat="1" customHeight="1" spans="1:6">
      <c r="A8745" s="9" t="str">
        <f>"10500829213"</f>
        <v>10500829213</v>
      </c>
      <c r="B8745" s="10">
        <v>31.89</v>
      </c>
      <c r="C8745" s="9"/>
      <c r="D8745" s="9">
        <f t="shared" si="136"/>
        <v>31.89</v>
      </c>
      <c r="E8745" s="11"/>
      <c r="F8745" s="9"/>
    </row>
    <row r="8746" s="1" customFormat="1" customHeight="1" spans="1:6">
      <c r="A8746" s="9" t="str">
        <f>"10360829214"</f>
        <v>10360829214</v>
      </c>
      <c r="B8746" s="10">
        <v>42.7</v>
      </c>
      <c r="C8746" s="9"/>
      <c r="D8746" s="9">
        <f t="shared" si="136"/>
        <v>42.7</v>
      </c>
      <c r="E8746" s="11"/>
      <c r="F8746" s="9"/>
    </row>
    <row r="8747" s="1" customFormat="1" customHeight="1" spans="1:6">
      <c r="A8747" s="9" t="str">
        <f>"10090829215"</f>
        <v>10090829215</v>
      </c>
      <c r="B8747" s="10">
        <v>42.96</v>
      </c>
      <c r="C8747" s="9"/>
      <c r="D8747" s="9">
        <f t="shared" si="136"/>
        <v>42.96</v>
      </c>
      <c r="E8747" s="11"/>
      <c r="F8747" s="9"/>
    </row>
    <row r="8748" s="1" customFormat="1" customHeight="1" spans="1:6">
      <c r="A8748" s="9" t="str">
        <f>"10360829216"</f>
        <v>10360829216</v>
      </c>
      <c r="B8748" s="10">
        <v>31.27</v>
      </c>
      <c r="C8748" s="9"/>
      <c r="D8748" s="9">
        <f t="shared" si="136"/>
        <v>31.27</v>
      </c>
      <c r="E8748" s="11"/>
      <c r="F8748" s="9"/>
    </row>
    <row r="8749" s="1" customFormat="1" customHeight="1" spans="1:6">
      <c r="A8749" s="9" t="str">
        <f>"10140829217"</f>
        <v>10140829217</v>
      </c>
      <c r="B8749" s="10">
        <v>35.57</v>
      </c>
      <c r="C8749" s="9"/>
      <c r="D8749" s="9">
        <f t="shared" si="136"/>
        <v>35.57</v>
      </c>
      <c r="E8749" s="11"/>
      <c r="F8749" s="9"/>
    </row>
    <row r="8750" s="1" customFormat="1" customHeight="1" spans="1:6">
      <c r="A8750" s="9" t="str">
        <f>"10270829218"</f>
        <v>10270829218</v>
      </c>
      <c r="B8750" s="10">
        <v>50.79</v>
      </c>
      <c r="C8750" s="9"/>
      <c r="D8750" s="9">
        <f t="shared" si="136"/>
        <v>50.79</v>
      </c>
      <c r="E8750" s="11"/>
      <c r="F8750" s="9"/>
    </row>
    <row r="8751" s="1" customFormat="1" customHeight="1" spans="1:6">
      <c r="A8751" s="9" t="str">
        <f>"10530829219"</f>
        <v>10530829219</v>
      </c>
      <c r="B8751" s="10">
        <v>0</v>
      </c>
      <c r="C8751" s="9"/>
      <c r="D8751" s="9">
        <f t="shared" si="136"/>
        <v>0</v>
      </c>
      <c r="E8751" s="11"/>
      <c r="F8751" s="9" t="s">
        <v>7</v>
      </c>
    </row>
    <row r="8752" s="1" customFormat="1" customHeight="1" spans="1:6">
      <c r="A8752" s="9" t="str">
        <f>"10460829220"</f>
        <v>10460829220</v>
      </c>
      <c r="B8752" s="10">
        <v>43.78</v>
      </c>
      <c r="C8752" s="9"/>
      <c r="D8752" s="9">
        <f t="shared" si="136"/>
        <v>43.78</v>
      </c>
      <c r="E8752" s="11"/>
      <c r="F8752" s="9"/>
    </row>
    <row r="8753" s="1" customFormat="1" customHeight="1" spans="1:6">
      <c r="A8753" s="9" t="str">
        <f>"10330829221"</f>
        <v>10330829221</v>
      </c>
      <c r="B8753" s="10">
        <v>0</v>
      </c>
      <c r="C8753" s="9"/>
      <c r="D8753" s="9">
        <f t="shared" si="136"/>
        <v>0</v>
      </c>
      <c r="E8753" s="11"/>
      <c r="F8753" s="9" t="s">
        <v>7</v>
      </c>
    </row>
    <row r="8754" s="1" customFormat="1" customHeight="1" spans="1:6">
      <c r="A8754" s="9" t="str">
        <f>"10080829222"</f>
        <v>10080829222</v>
      </c>
      <c r="B8754" s="10">
        <v>0</v>
      </c>
      <c r="C8754" s="9"/>
      <c r="D8754" s="9">
        <f t="shared" si="136"/>
        <v>0</v>
      </c>
      <c r="E8754" s="11"/>
      <c r="F8754" s="9" t="s">
        <v>7</v>
      </c>
    </row>
    <row r="8755" s="1" customFormat="1" customHeight="1" spans="1:6">
      <c r="A8755" s="9" t="str">
        <f>"20180829223"</f>
        <v>20180829223</v>
      </c>
      <c r="B8755" s="10">
        <v>0</v>
      </c>
      <c r="C8755" s="9"/>
      <c r="D8755" s="9">
        <f t="shared" si="136"/>
        <v>0</v>
      </c>
      <c r="E8755" s="11"/>
      <c r="F8755" s="9" t="s">
        <v>7</v>
      </c>
    </row>
    <row r="8756" s="1" customFormat="1" customHeight="1" spans="1:6">
      <c r="A8756" s="9" t="str">
        <f>"10360829224"</f>
        <v>10360829224</v>
      </c>
      <c r="B8756" s="10">
        <v>37.95</v>
      </c>
      <c r="C8756" s="9"/>
      <c r="D8756" s="9">
        <f t="shared" si="136"/>
        <v>37.95</v>
      </c>
      <c r="E8756" s="11"/>
      <c r="F8756" s="9"/>
    </row>
    <row r="8757" s="1" customFormat="1" customHeight="1" spans="1:6">
      <c r="A8757" s="9" t="str">
        <f>"10380829225"</f>
        <v>10380829225</v>
      </c>
      <c r="B8757" s="10">
        <v>0</v>
      </c>
      <c r="C8757" s="9"/>
      <c r="D8757" s="9">
        <f t="shared" si="136"/>
        <v>0</v>
      </c>
      <c r="E8757" s="11"/>
      <c r="F8757" s="9" t="s">
        <v>7</v>
      </c>
    </row>
    <row r="8758" s="1" customFormat="1" customHeight="1" spans="1:6">
      <c r="A8758" s="9" t="str">
        <f>"10110829226"</f>
        <v>10110829226</v>
      </c>
      <c r="B8758" s="10">
        <v>52.79</v>
      </c>
      <c r="C8758" s="9"/>
      <c r="D8758" s="9">
        <f t="shared" si="136"/>
        <v>52.79</v>
      </c>
      <c r="E8758" s="11"/>
      <c r="F8758" s="9"/>
    </row>
    <row r="8759" s="1" customFormat="1" customHeight="1" spans="1:6">
      <c r="A8759" s="9" t="str">
        <f>"10210829227"</f>
        <v>10210829227</v>
      </c>
      <c r="B8759" s="10">
        <v>0</v>
      </c>
      <c r="C8759" s="9"/>
      <c r="D8759" s="9">
        <f t="shared" si="136"/>
        <v>0</v>
      </c>
      <c r="E8759" s="11"/>
      <c r="F8759" s="9" t="s">
        <v>7</v>
      </c>
    </row>
    <row r="8760" s="1" customFormat="1" customHeight="1" spans="1:6">
      <c r="A8760" s="9" t="str">
        <f>"10300829228"</f>
        <v>10300829228</v>
      </c>
      <c r="B8760" s="10">
        <v>0</v>
      </c>
      <c r="C8760" s="9"/>
      <c r="D8760" s="9">
        <f t="shared" si="136"/>
        <v>0</v>
      </c>
      <c r="E8760" s="11"/>
      <c r="F8760" s="9" t="s">
        <v>7</v>
      </c>
    </row>
    <row r="8761" s="1" customFormat="1" customHeight="1" spans="1:6">
      <c r="A8761" s="9" t="str">
        <f>"10210829229"</f>
        <v>10210829229</v>
      </c>
      <c r="B8761" s="10">
        <v>40.68</v>
      </c>
      <c r="C8761" s="9"/>
      <c r="D8761" s="9">
        <f t="shared" si="136"/>
        <v>40.68</v>
      </c>
      <c r="E8761" s="11"/>
      <c r="F8761" s="9"/>
    </row>
    <row r="8762" s="1" customFormat="1" customHeight="1" spans="1:6">
      <c r="A8762" s="9" t="str">
        <f>"10060829230"</f>
        <v>10060829230</v>
      </c>
      <c r="B8762" s="10">
        <v>38.66</v>
      </c>
      <c r="C8762" s="9"/>
      <c r="D8762" s="9">
        <f t="shared" si="136"/>
        <v>38.66</v>
      </c>
      <c r="E8762" s="11"/>
      <c r="F8762" s="9"/>
    </row>
    <row r="8763" s="1" customFormat="1" customHeight="1" spans="1:6">
      <c r="A8763" s="9" t="str">
        <f>"10170829301"</f>
        <v>10170829301</v>
      </c>
      <c r="B8763" s="10">
        <v>0</v>
      </c>
      <c r="C8763" s="9"/>
      <c r="D8763" s="9">
        <f t="shared" si="136"/>
        <v>0</v>
      </c>
      <c r="E8763" s="11"/>
      <c r="F8763" s="9" t="s">
        <v>7</v>
      </c>
    </row>
    <row r="8764" s="1" customFormat="1" customHeight="1" spans="1:6">
      <c r="A8764" s="9" t="str">
        <f>"10470829302"</f>
        <v>10470829302</v>
      </c>
      <c r="B8764" s="10">
        <v>43.31</v>
      </c>
      <c r="C8764" s="9"/>
      <c r="D8764" s="9">
        <f t="shared" si="136"/>
        <v>43.31</v>
      </c>
      <c r="E8764" s="11"/>
      <c r="F8764" s="9"/>
    </row>
    <row r="8765" s="1" customFormat="1" customHeight="1" spans="1:6">
      <c r="A8765" s="9" t="str">
        <f>"10360829303"</f>
        <v>10360829303</v>
      </c>
      <c r="B8765" s="10">
        <v>0</v>
      </c>
      <c r="C8765" s="9"/>
      <c r="D8765" s="9">
        <f t="shared" si="136"/>
        <v>0</v>
      </c>
      <c r="E8765" s="11"/>
      <c r="F8765" s="9" t="s">
        <v>7</v>
      </c>
    </row>
    <row r="8766" s="1" customFormat="1" customHeight="1" spans="1:6">
      <c r="A8766" s="9" t="str">
        <f>"10510829304"</f>
        <v>10510829304</v>
      </c>
      <c r="B8766" s="10">
        <v>51.1</v>
      </c>
      <c r="C8766" s="9"/>
      <c r="D8766" s="9">
        <f t="shared" si="136"/>
        <v>51.1</v>
      </c>
      <c r="E8766" s="11"/>
      <c r="F8766" s="9"/>
    </row>
    <row r="8767" s="1" customFormat="1" customHeight="1" spans="1:6">
      <c r="A8767" s="9" t="str">
        <f>"10450829305"</f>
        <v>10450829305</v>
      </c>
      <c r="B8767" s="10">
        <v>36.96</v>
      </c>
      <c r="C8767" s="9"/>
      <c r="D8767" s="9">
        <f t="shared" si="136"/>
        <v>36.96</v>
      </c>
      <c r="E8767" s="11"/>
      <c r="F8767" s="9"/>
    </row>
    <row r="8768" s="1" customFormat="1" customHeight="1" spans="1:6">
      <c r="A8768" s="9" t="str">
        <f>"10270829306"</f>
        <v>10270829306</v>
      </c>
      <c r="B8768" s="10">
        <v>41.89</v>
      </c>
      <c r="C8768" s="9"/>
      <c r="D8768" s="9">
        <f t="shared" si="136"/>
        <v>41.89</v>
      </c>
      <c r="E8768" s="11"/>
      <c r="F8768" s="9"/>
    </row>
    <row r="8769" s="1" customFormat="1" customHeight="1" spans="1:6">
      <c r="A8769" s="9" t="str">
        <f>"10010829307"</f>
        <v>10010829307</v>
      </c>
      <c r="B8769" s="10">
        <v>39.07</v>
      </c>
      <c r="C8769" s="9"/>
      <c r="D8769" s="9">
        <f t="shared" si="136"/>
        <v>39.07</v>
      </c>
      <c r="E8769" s="11"/>
      <c r="F8769" s="9"/>
    </row>
    <row r="8770" s="1" customFormat="1" customHeight="1" spans="1:6">
      <c r="A8770" s="9" t="str">
        <f>"10330829308"</f>
        <v>10330829308</v>
      </c>
      <c r="B8770" s="10">
        <v>0</v>
      </c>
      <c r="C8770" s="9"/>
      <c r="D8770" s="9">
        <f t="shared" si="136"/>
        <v>0</v>
      </c>
      <c r="E8770" s="11"/>
      <c r="F8770" s="9" t="s">
        <v>7</v>
      </c>
    </row>
    <row r="8771" s="1" customFormat="1" customHeight="1" spans="1:6">
      <c r="A8771" s="9" t="str">
        <f>"10360829309"</f>
        <v>10360829309</v>
      </c>
      <c r="B8771" s="10">
        <v>44.06</v>
      </c>
      <c r="C8771" s="9"/>
      <c r="D8771" s="9">
        <f t="shared" ref="D8771:D8834" si="137">SUM(B8771:C8771)</f>
        <v>44.06</v>
      </c>
      <c r="E8771" s="11"/>
      <c r="F8771" s="9"/>
    </row>
    <row r="8772" s="1" customFormat="1" customHeight="1" spans="1:6">
      <c r="A8772" s="9" t="str">
        <f>"10110829310"</f>
        <v>10110829310</v>
      </c>
      <c r="B8772" s="10">
        <v>45.43</v>
      </c>
      <c r="C8772" s="9"/>
      <c r="D8772" s="9">
        <f t="shared" si="137"/>
        <v>45.43</v>
      </c>
      <c r="E8772" s="11"/>
      <c r="F8772" s="9"/>
    </row>
    <row r="8773" s="1" customFormat="1" customHeight="1" spans="1:6">
      <c r="A8773" s="9" t="str">
        <f>"10360829311"</f>
        <v>10360829311</v>
      </c>
      <c r="B8773" s="10">
        <v>54.69</v>
      </c>
      <c r="C8773" s="9"/>
      <c r="D8773" s="9">
        <f t="shared" si="137"/>
        <v>54.69</v>
      </c>
      <c r="E8773" s="11"/>
      <c r="F8773" s="9"/>
    </row>
    <row r="8774" s="1" customFormat="1" customHeight="1" spans="1:6">
      <c r="A8774" s="9" t="str">
        <f>"10530829312"</f>
        <v>10530829312</v>
      </c>
      <c r="B8774" s="10">
        <v>36.21</v>
      </c>
      <c r="C8774" s="9"/>
      <c r="D8774" s="9">
        <f t="shared" si="137"/>
        <v>36.21</v>
      </c>
      <c r="E8774" s="11"/>
      <c r="F8774" s="9"/>
    </row>
    <row r="8775" s="1" customFormat="1" customHeight="1" spans="1:6">
      <c r="A8775" s="9" t="str">
        <f>"10020829313"</f>
        <v>10020829313</v>
      </c>
      <c r="B8775" s="10">
        <v>44.37</v>
      </c>
      <c r="C8775" s="9"/>
      <c r="D8775" s="9">
        <f t="shared" si="137"/>
        <v>44.37</v>
      </c>
      <c r="E8775" s="11"/>
      <c r="F8775" s="9"/>
    </row>
    <row r="8776" s="1" customFormat="1" customHeight="1" spans="1:6">
      <c r="A8776" s="9" t="str">
        <f>"10360829314"</f>
        <v>10360829314</v>
      </c>
      <c r="B8776" s="10">
        <v>0</v>
      </c>
      <c r="C8776" s="9"/>
      <c r="D8776" s="9">
        <f t="shared" si="137"/>
        <v>0</v>
      </c>
      <c r="E8776" s="11"/>
      <c r="F8776" s="9" t="s">
        <v>7</v>
      </c>
    </row>
    <row r="8777" s="1" customFormat="1" customHeight="1" spans="1:6">
      <c r="A8777" s="9" t="str">
        <f>"10530829315"</f>
        <v>10530829315</v>
      </c>
      <c r="B8777" s="10">
        <v>31.57</v>
      </c>
      <c r="C8777" s="9"/>
      <c r="D8777" s="9">
        <f t="shared" si="137"/>
        <v>31.57</v>
      </c>
      <c r="E8777" s="11"/>
      <c r="F8777" s="9"/>
    </row>
    <row r="8778" s="1" customFormat="1" customHeight="1" spans="1:6">
      <c r="A8778" s="9" t="str">
        <f>"10360829316"</f>
        <v>10360829316</v>
      </c>
      <c r="B8778" s="10">
        <v>31.82</v>
      </c>
      <c r="C8778" s="9"/>
      <c r="D8778" s="9">
        <f t="shared" si="137"/>
        <v>31.82</v>
      </c>
      <c r="E8778" s="11"/>
      <c r="F8778" s="9"/>
    </row>
    <row r="8779" s="1" customFormat="1" customHeight="1" spans="1:6">
      <c r="A8779" s="9" t="str">
        <f>"10380829317"</f>
        <v>10380829317</v>
      </c>
      <c r="B8779" s="10">
        <v>0</v>
      </c>
      <c r="C8779" s="9"/>
      <c r="D8779" s="9">
        <f t="shared" si="137"/>
        <v>0</v>
      </c>
      <c r="E8779" s="11"/>
      <c r="F8779" s="9" t="s">
        <v>7</v>
      </c>
    </row>
    <row r="8780" s="1" customFormat="1" customHeight="1" spans="1:6">
      <c r="A8780" s="9" t="str">
        <f>"10180829318"</f>
        <v>10180829318</v>
      </c>
      <c r="B8780" s="10">
        <v>0</v>
      </c>
      <c r="C8780" s="9"/>
      <c r="D8780" s="9">
        <f t="shared" si="137"/>
        <v>0</v>
      </c>
      <c r="E8780" s="11"/>
      <c r="F8780" s="9" t="s">
        <v>7</v>
      </c>
    </row>
    <row r="8781" s="1" customFormat="1" customHeight="1" spans="1:6">
      <c r="A8781" s="9" t="str">
        <f>"20180829319"</f>
        <v>20180829319</v>
      </c>
      <c r="B8781" s="10">
        <v>45.44</v>
      </c>
      <c r="C8781" s="9"/>
      <c r="D8781" s="9">
        <f t="shared" si="137"/>
        <v>45.44</v>
      </c>
      <c r="E8781" s="11"/>
      <c r="F8781" s="9"/>
    </row>
    <row r="8782" s="1" customFormat="1" customHeight="1" spans="1:6">
      <c r="A8782" s="9" t="str">
        <f>"10360829320"</f>
        <v>10360829320</v>
      </c>
      <c r="B8782" s="10">
        <v>42.13</v>
      </c>
      <c r="C8782" s="9"/>
      <c r="D8782" s="9">
        <f t="shared" si="137"/>
        <v>42.13</v>
      </c>
      <c r="E8782" s="11"/>
      <c r="F8782" s="9"/>
    </row>
    <row r="8783" s="1" customFormat="1" customHeight="1" spans="1:6">
      <c r="A8783" s="9" t="str">
        <f>"10110829321"</f>
        <v>10110829321</v>
      </c>
      <c r="B8783" s="10">
        <v>36.15</v>
      </c>
      <c r="C8783" s="9"/>
      <c r="D8783" s="9">
        <f t="shared" si="137"/>
        <v>36.15</v>
      </c>
      <c r="E8783" s="11"/>
      <c r="F8783" s="9"/>
    </row>
    <row r="8784" s="1" customFormat="1" customHeight="1" spans="1:6">
      <c r="A8784" s="9" t="str">
        <f>"10060829322"</f>
        <v>10060829322</v>
      </c>
      <c r="B8784" s="10">
        <v>40.78</v>
      </c>
      <c r="C8784" s="9"/>
      <c r="D8784" s="9">
        <f t="shared" si="137"/>
        <v>40.78</v>
      </c>
      <c r="E8784" s="11"/>
      <c r="F8784" s="9"/>
    </row>
    <row r="8785" s="1" customFormat="1" customHeight="1" spans="1:6">
      <c r="A8785" s="9" t="str">
        <f>"10360829323"</f>
        <v>10360829323</v>
      </c>
      <c r="B8785" s="10">
        <v>41.02</v>
      </c>
      <c r="C8785" s="9"/>
      <c r="D8785" s="9">
        <f t="shared" si="137"/>
        <v>41.02</v>
      </c>
      <c r="E8785" s="11"/>
      <c r="F8785" s="9"/>
    </row>
    <row r="8786" s="1" customFormat="1" customHeight="1" spans="1:6">
      <c r="A8786" s="9" t="str">
        <f>"10320829324"</f>
        <v>10320829324</v>
      </c>
      <c r="B8786" s="10">
        <v>46.01</v>
      </c>
      <c r="C8786" s="9"/>
      <c r="D8786" s="9">
        <f t="shared" si="137"/>
        <v>46.01</v>
      </c>
      <c r="E8786" s="11"/>
      <c r="F8786" s="9"/>
    </row>
    <row r="8787" s="1" customFormat="1" customHeight="1" spans="1:6">
      <c r="A8787" s="9" t="str">
        <f>"10300829325"</f>
        <v>10300829325</v>
      </c>
      <c r="B8787" s="10">
        <v>40.14</v>
      </c>
      <c r="C8787" s="9"/>
      <c r="D8787" s="9">
        <f t="shared" si="137"/>
        <v>40.14</v>
      </c>
      <c r="E8787" s="11"/>
      <c r="F8787" s="9"/>
    </row>
    <row r="8788" s="1" customFormat="1" customHeight="1" spans="1:6">
      <c r="A8788" s="9" t="str">
        <f>"10520829326"</f>
        <v>10520829326</v>
      </c>
      <c r="B8788" s="10">
        <v>0</v>
      </c>
      <c r="C8788" s="9"/>
      <c r="D8788" s="9">
        <f t="shared" si="137"/>
        <v>0</v>
      </c>
      <c r="E8788" s="11"/>
      <c r="F8788" s="9" t="s">
        <v>7</v>
      </c>
    </row>
    <row r="8789" s="1" customFormat="1" customHeight="1" spans="1:6">
      <c r="A8789" s="9" t="str">
        <f>"10510829327"</f>
        <v>10510829327</v>
      </c>
      <c r="B8789" s="10">
        <v>0</v>
      </c>
      <c r="C8789" s="9"/>
      <c r="D8789" s="9">
        <f t="shared" si="137"/>
        <v>0</v>
      </c>
      <c r="E8789" s="11"/>
      <c r="F8789" s="9" t="s">
        <v>7</v>
      </c>
    </row>
    <row r="8790" s="1" customFormat="1" customHeight="1" spans="1:6">
      <c r="A8790" s="9" t="str">
        <f>"10080829328"</f>
        <v>10080829328</v>
      </c>
      <c r="B8790" s="10">
        <v>37.92</v>
      </c>
      <c r="C8790" s="9"/>
      <c r="D8790" s="9">
        <f t="shared" si="137"/>
        <v>37.92</v>
      </c>
      <c r="E8790" s="11"/>
      <c r="F8790" s="9"/>
    </row>
    <row r="8791" s="1" customFormat="1" customHeight="1" spans="1:6">
      <c r="A8791" s="9" t="str">
        <f>"10360829329"</f>
        <v>10360829329</v>
      </c>
      <c r="B8791" s="10">
        <v>0</v>
      </c>
      <c r="C8791" s="9"/>
      <c r="D8791" s="9">
        <f t="shared" si="137"/>
        <v>0</v>
      </c>
      <c r="E8791" s="11"/>
      <c r="F8791" s="9" t="s">
        <v>7</v>
      </c>
    </row>
    <row r="8792" s="1" customFormat="1" customHeight="1" spans="1:6">
      <c r="A8792" s="9" t="str">
        <f>"10100829330"</f>
        <v>10100829330</v>
      </c>
      <c r="B8792" s="10">
        <v>33.93</v>
      </c>
      <c r="C8792" s="9"/>
      <c r="D8792" s="9">
        <f t="shared" si="137"/>
        <v>33.93</v>
      </c>
      <c r="E8792" s="11"/>
      <c r="F8792" s="9"/>
    </row>
    <row r="8793" s="1" customFormat="1" customHeight="1" spans="1:6">
      <c r="A8793" s="9" t="str">
        <f>"10290829401"</f>
        <v>10290829401</v>
      </c>
      <c r="B8793" s="10">
        <v>0</v>
      </c>
      <c r="C8793" s="9"/>
      <c r="D8793" s="9">
        <f t="shared" si="137"/>
        <v>0</v>
      </c>
      <c r="E8793" s="11"/>
      <c r="F8793" s="9" t="s">
        <v>7</v>
      </c>
    </row>
    <row r="8794" s="1" customFormat="1" customHeight="1" spans="1:6">
      <c r="A8794" s="9" t="str">
        <f>"10090829402"</f>
        <v>10090829402</v>
      </c>
      <c r="B8794" s="10">
        <v>41.3</v>
      </c>
      <c r="C8794" s="9"/>
      <c r="D8794" s="9">
        <f t="shared" si="137"/>
        <v>41.3</v>
      </c>
      <c r="E8794" s="11"/>
      <c r="F8794" s="9"/>
    </row>
    <row r="8795" s="1" customFormat="1" customHeight="1" spans="1:6">
      <c r="A8795" s="9" t="str">
        <f>"10210829403"</f>
        <v>10210829403</v>
      </c>
      <c r="B8795" s="10">
        <v>0</v>
      </c>
      <c r="C8795" s="9"/>
      <c r="D8795" s="9">
        <f t="shared" si="137"/>
        <v>0</v>
      </c>
      <c r="E8795" s="11"/>
      <c r="F8795" s="9" t="s">
        <v>7</v>
      </c>
    </row>
    <row r="8796" s="1" customFormat="1" customHeight="1" spans="1:6">
      <c r="A8796" s="9" t="str">
        <f>"20180829404"</f>
        <v>20180829404</v>
      </c>
      <c r="B8796" s="10">
        <v>32.2</v>
      </c>
      <c r="C8796" s="9"/>
      <c r="D8796" s="9">
        <f t="shared" si="137"/>
        <v>32.2</v>
      </c>
      <c r="E8796" s="11"/>
      <c r="F8796" s="9"/>
    </row>
    <row r="8797" s="1" customFormat="1" customHeight="1" spans="1:6">
      <c r="A8797" s="9" t="str">
        <f>"10210829405"</f>
        <v>10210829405</v>
      </c>
      <c r="B8797" s="10">
        <v>0</v>
      </c>
      <c r="C8797" s="9"/>
      <c r="D8797" s="9">
        <f t="shared" si="137"/>
        <v>0</v>
      </c>
      <c r="E8797" s="11"/>
      <c r="F8797" s="9" t="s">
        <v>7</v>
      </c>
    </row>
    <row r="8798" s="1" customFormat="1" customHeight="1" spans="1:6">
      <c r="A8798" s="9" t="str">
        <f>"10060829406"</f>
        <v>10060829406</v>
      </c>
      <c r="B8798" s="10">
        <v>43.45</v>
      </c>
      <c r="C8798" s="9"/>
      <c r="D8798" s="9">
        <f t="shared" si="137"/>
        <v>43.45</v>
      </c>
      <c r="E8798" s="11"/>
      <c r="F8798" s="9"/>
    </row>
    <row r="8799" s="1" customFormat="1" customHeight="1" spans="1:6">
      <c r="A8799" s="9" t="str">
        <f>"10080829407"</f>
        <v>10080829407</v>
      </c>
      <c r="B8799" s="10">
        <v>45.24</v>
      </c>
      <c r="C8799" s="9"/>
      <c r="D8799" s="9">
        <f t="shared" si="137"/>
        <v>45.24</v>
      </c>
      <c r="E8799" s="11"/>
      <c r="F8799" s="9"/>
    </row>
    <row r="8800" s="1" customFormat="1" customHeight="1" spans="1:6">
      <c r="A8800" s="9" t="str">
        <f>"10120829408"</f>
        <v>10120829408</v>
      </c>
      <c r="B8800" s="10">
        <v>0</v>
      </c>
      <c r="C8800" s="9"/>
      <c r="D8800" s="9">
        <f t="shared" si="137"/>
        <v>0</v>
      </c>
      <c r="E8800" s="11"/>
      <c r="F8800" s="9" t="s">
        <v>7</v>
      </c>
    </row>
    <row r="8801" s="1" customFormat="1" customHeight="1" spans="1:6">
      <c r="A8801" s="9" t="str">
        <f>"10510829409"</f>
        <v>10510829409</v>
      </c>
      <c r="B8801" s="10">
        <v>49.99</v>
      </c>
      <c r="C8801" s="9"/>
      <c r="D8801" s="9">
        <f t="shared" si="137"/>
        <v>49.99</v>
      </c>
      <c r="E8801" s="11"/>
      <c r="F8801" s="9"/>
    </row>
    <row r="8802" s="1" customFormat="1" customHeight="1" spans="1:6">
      <c r="A8802" s="9" t="str">
        <f>"10300829410"</f>
        <v>10300829410</v>
      </c>
      <c r="B8802" s="10">
        <v>0</v>
      </c>
      <c r="C8802" s="9"/>
      <c r="D8802" s="9">
        <f t="shared" si="137"/>
        <v>0</v>
      </c>
      <c r="E8802" s="11"/>
      <c r="F8802" s="9" t="s">
        <v>7</v>
      </c>
    </row>
    <row r="8803" s="1" customFormat="1" customHeight="1" spans="1:6">
      <c r="A8803" s="9" t="str">
        <f>"20270829411"</f>
        <v>20270829411</v>
      </c>
      <c r="B8803" s="10">
        <v>50.56</v>
      </c>
      <c r="C8803" s="9"/>
      <c r="D8803" s="9">
        <f t="shared" si="137"/>
        <v>50.56</v>
      </c>
      <c r="E8803" s="11"/>
      <c r="F8803" s="9"/>
    </row>
    <row r="8804" s="1" customFormat="1" customHeight="1" spans="1:6">
      <c r="A8804" s="9" t="str">
        <f>"10210829412"</f>
        <v>10210829412</v>
      </c>
      <c r="B8804" s="10">
        <v>42.29</v>
      </c>
      <c r="C8804" s="9"/>
      <c r="D8804" s="9">
        <f t="shared" si="137"/>
        <v>42.29</v>
      </c>
      <c r="E8804" s="11"/>
      <c r="F8804" s="9"/>
    </row>
    <row r="8805" s="1" customFormat="1" customHeight="1" spans="1:6">
      <c r="A8805" s="9" t="str">
        <f>"10410829413"</f>
        <v>10410829413</v>
      </c>
      <c r="B8805" s="10">
        <v>46.64</v>
      </c>
      <c r="C8805" s="9"/>
      <c r="D8805" s="9">
        <f t="shared" si="137"/>
        <v>46.64</v>
      </c>
      <c r="E8805" s="11"/>
      <c r="F8805" s="9"/>
    </row>
    <row r="8806" s="1" customFormat="1" customHeight="1" spans="1:6">
      <c r="A8806" s="9" t="str">
        <f>"10120829414"</f>
        <v>10120829414</v>
      </c>
      <c r="B8806" s="10">
        <v>29.97</v>
      </c>
      <c r="C8806" s="9"/>
      <c r="D8806" s="9">
        <f t="shared" si="137"/>
        <v>29.97</v>
      </c>
      <c r="E8806" s="11"/>
      <c r="F8806" s="9"/>
    </row>
    <row r="8807" s="1" customFormat="1" customHeight="1" spans="1:6">
      <c r="A8807" s="9" t="str">
        <f>"10490829415"</f>
        <v>10490829415</v>
      </c>
      <c r="B8807" s="10">
        <v>39.31</v>
      </c>
      <c r="C8807" s="9"/>
      <c r="D8807" s="9">
        <f t="shared" si="137"/>
        <v>39.31</v>
      </c>
      <c r="E8807" s="11"/>
      <c r="F8807" s="9"/>
    </row>
    <row r="8808" s="1" customFormat="1" customHeight="1" spans="1:6">
      <c r="A8808" s="9" t="str">
        <f>"10130829416"</f>
        <v>10130829416</v>
      </c>
      <c r="B8808" s="10">
        <v>42.93</v>
      </c>
      <c r="C8808" s="9"/>
      <c r="D8808" s="9">
        <f t="shared" si="137"/>
        <v>42.93</v>
      </c>
      <c r="E8808" s="11"/>
      <c r="F8808" s="9"/>
    </row>
    <row r="8809" s="1" customFormat="1" customHeight="1" spans="1:6">
      <c r="A8809" s="9" t="str">
        <f>"10360829417"</f>
        <v>10360829417</v>
      </c>
      <c r="B8809" s="10">
        <v>0</v>
      </c>
      <c r="C8809" s="9"/>
      <c r="D8809" s="9">
        <f t="shared" si="137"/>
        <v>0</v>
      </c>
      <c r="E8809" s="11"/>
      <c r="F8809" s="9" t="s">
        <v>7</v>
      </c>
    </row>
    <row r="8810" s="1" customFormat="1" customHeight="1" spans="1:6">
      <c r="A8810" s="9" t="str">
        <f>"10340829418"</f>
        <v>10340829418</v>
      </c>
      <c r="B8810" s="10">
        <v>36.01</v>
      </c>
      <c r="C8810" s="9"/>
      <c r="D8810" s="9">
        <f t="shared" si="137"/>
        <v>36.01</v>
      </c>
      <c r="E8810" s="11"/>
      <c r="F8810" s="9"/>
    </row>
    <row r="8811" s="1" customFormat="1" customHeight="1" spans="1:6">
      <c r="A8811" s="9" t="str">
        <f>"10510829419"</f>
        <v>10510829419</v>
      </c>
      <c r="B8811" s="10">
        <v>42.59</v>
      </c>
      <c r="C8811" s="9"/>
      <c r="D8811" s="9">
        <f t="shared" si="137"/>
        <v>42.59</v>
      </c>
      <c r="E8811" s="11"/>
      <c r="F8811" s="9"/>
    </row>
    <row r="8812" s="1" customFormat="1" customHeight="1" spans="1:6">
      <c r="A8812" s="9" t="str">
        <f>"10100829420"</f>
        <v>10100829420</v>
      </c>
      <c r="B8812" s="10">
        <v>34.11</v>
      </c>
      <c r="C8812" s="9"/>
      <c r="D8812" s="9">
        <f t="shared" si="137"/>
        <v>34.11</v>
      </c>
      <c r="E8812" s="11"/>
      <c r="F8812" s="9"/>
    </row>
    <row r="8813" s="1" customFormat="1" customHeight="1" spans="1:6">
      <c r="A8813" s="9" t="str">
        <f>"10060829421"</f>
        <v>10060829421</v>
      </c>
      <c r="B8813" s="10">
        <v>0</v>
      </c>
      <c r="C8813" s="9"/>
      <c r="D8813" s="9">
        <f t="shared" si="137"/>
        <v>0</v>
      </c>
      <c r="E8813" s="11"/>
      <c r="F8813" s="9" t="s">
        <v>7</v>
      </c>
    </row>
    <row r="8814" s="1" customFormat="1" customHeight="1" spans="1:6">
      <c r="A8814" s="9" t="str">
        <f>"10330829422"</f>
        <v>10330829422</v>
      </c>
      <c r="B8814" s="10">
        <v>0</v>
      </c>
      <c r="C8814" s="9"/>
      <c r="D8814" s="9">
        <f t="shared" si="137"/>
        <v>0</v>
      </c>
      <c r="E8814" s="11"/>
      <c r="F8814" s="9" t="s">
        <v>7</v>
      </c>
    </row>
    <row r="8815" s="1" customFormat="1" customHeight="1" spans="1:6">
      <c r="A8815" s="9" t="str">
        <f>"10060829423"</f>
        <v>10060829423</v>
      </c>
      <c r="B8815" s="10">
        <v>47.04</v>
      </c>
      <c r="C8815" s="9"/>
      <c r="D8815" s="9">
        <f t="shared" si="137"/>
        <v>47.04</v>
      </c>
      <c r="E8815" s="11"/>
      <c r="F8815" s="9"/>
    </row>
    <row r="8816" s="1" customFormat="1" customHeight="1" spans="1:6">
      <c r="A8816" s="9" t="str">
        <f>"10370829424"</f>
        <v>10370829424</v>
      </c>
      <c r="B8816" s="10">
        <v>46.56</v>
      </c>
      <c r="C8816" s="9"/>
      <c r="D8816" s="9">
        <f t="shared" si="137"/>
        <v>46.56</v>
      </c>
      <c r="E8816" s="11"/>
      <c r="F8816" s="9"/>
    </row>
    <row r="8817" s="1" customFormat="1" customHeight="1" spans="1:6">
      <c r="A8817" s="9" t="str">
        <f>"10360829425"</f>
        <v>10360829425</v>
      </c>
      <c r="B8817" s="10">
        <v>46.63</v>
      </c>
      <c r="C8817" s="9"/>
      <c r="D8817" s="9">
        <f t="shared" si="137"/>
        <v>46.63</v>
      </c>
      <c r="E8817" s="11"/>
      <c r="F8817" s="9"/>
    </row>
    <row r="8818" s="1" customFormat="1" customHeight="1" spans="1:6">
      <c r="A8818" s="9" t="str">
        <f>"10450829426"</f>
        <v>10450829426</v>
      </c>
      <c r="B8818" s="10">
        <v>42.93</v>
      </c>
      <c r="C8818" s="9"/>
      <c r="D8818" s="9">
        <f t="shared" si="137"/>
        <v>42.93</v>
      </c>
      <c r="E8818" s="11"/>
      <c r="F8818" s="9"/>
    </row>
    <row r="8819" s="1" customFormat="1" customHeight="1" spans="1:6">
      <c r="A8819" s="9" t="str">
        <f>"10100829427"</f>
        <v>10100829427</v>
      </c>
      <c r="B8819" s="10">
        <v>0</v>
      </c>
      <c r="C8819" s="9"/>
      <c r="D8819" s="9">
        <f t="shared" si="137"/>
        <v>0</v>
      </c>
      <c r="E8819" s="11"/>
      <c r="F8819" s="9" t="s">
        <v>7</v>
      </c>
    </row>
    <row r="8820" s="1" customFormat="1" customHeight="1" spans="1:6">
      <c r="A8820" s="9" t="str">
        <f>"10460829428"</f>
        <v>10460829428</v>
      </c>
      <c r="B8820" s="10">
        <v>43.14</v>
      </c>
      <c r="C8820" s="9"/>
      <c r="D8820" s="9">
        <f t="shared" si="137"/>
        <v>43.14</v>
      </c>
      <c r="E8820" s="11"/>
      <c r="F8820" s="9"/>
    </row>
    <row r="8821" s="1" customFormat="1" customHeight="1" spans="1:6">
      <c r="A8821" s="9" t="str">
        <f>"10440829429"</f>
        <v>10440829429</v>
      </c>
      <c r="B8821" s="10">
        <v>46.5</v>
      </c>
      <c r="C8821" s="9"/>
      <c r="D8821" s="9">
        <f t="shared" si="137"/>
        <v>46.5</v>
      </c>
      <c r="E8821" s="11"/>
      <c r="F8821" s="9"/>
    </row>
    <row r="8822" s="1" customFormat="1" customHeight="1" spans="1:6">
      <c r="A8822" s="9" t="str">
        <f>"10020829430"</f>
        <v>10020829430</v>
      </c>
      <c r="B8822" s="10">
        <v>39.85</v>
      </c>
      <c r="C8822" s="9"/>
      <c r="D8822" s="9">
        <f t="shared" si="137"/>
        <v>39.85</v>
      </c>
      <c r="E8822" s="11"/>
      <c r="F8822" s="9"/>
    </row>
    <row r="8823" s="1" customFormat="1" customHeight="1" spans="1:6">
      <c r="A8823" s="9" t="str">
        <f>"10360829501"</f>
        <v>10360829501</v>
      </c>
      <c r="B8823" s="10">
        <v>41.63</v>
      </c>
      <c r="C8823" s="9"/>
      <c r="D8823" s="9">
        <f t="shared" si="137"/>
        <v>41.63</v>
      </c>
      <c r="E8823" s="11"/>
      <c r="F8823" s="9"/>
    </row>
    <row r="8824" s="1" customFormat="1" customHeight="1" spans="1:6">
      <c r="A8824" s="9" t="str">
        <f>"10080829502"</f>
        <v>10080829502</v>
      </c>
      <c r="B8824" s="10">
        <v>46.87</v>
      </c>
      <c r="C8824" s="9"/>
      <c r="D8824" s="9">
        <f t="shared" si="137"/>
        <v>46.87</v>
      </c>
      <c r="E8824" s="11"/>
      <c r="F8824" s="9"/>
    </row>
    <row r="8825" s="1" customFormat="1" customHeight="1" spans="1:6">
      <c r="A8825" s="9" t="str">
        <f>"10440829503"</f>
        <v>10440829503</v>
      </c>
      <c r="B8825" s="10">
        <v>0</v>
      </c>
      <c r="C8825" s="9"/>
      <c r="D8825" s="9">
        <f t="shared" si="137"/>
        <v>0</v>
      </c>
      <c r="E8825" s="11"/>
      <c r="F8825" s="9" t="s">
        <v>7</v>
      </c>
    </row>
    <row r="8826" s="1" customFormat="1" customHeight="1" spans="1:6">
      <c r="A8826" s="9" t="str">
        <f>"10330829504"</f>
        <v>10330829504</v>
      </c>
      <c r="B8826" s="10">
        <v>41.31</v>
      </c>
      <c r="C8826" s="9"/>
      <c r="D8826" s="9">
        <f t="shared" si="137"/>
        <v>41.31</v>
      </c>
      <c r="E8826" s="11"/>
      <c r="F8826" s="9"/>
    </row>
    <row r="8827" s="1" customFormat="1" customHeight="1" spans="1:6">
      <c r="A8827" s="9" t="str">
        <f>"10090829505"</f>
        <v>10090829505</v>
      </c>
      <c r="B8827" s="10">
        <v>0</v>
      </c>
      <c r="C8827" s="9"/>
      <c r="D8827" s="9">
        <f t="shared" si="137"/>
        <v>0</v>
      </c>
      <c r="E8827" s="11"/>
      <c r="F8827" s="9" t="s">
        <v>7</v>
      </c>
    </row>
    <row r="8828" s="1" customFormat="1" customHeight="1" spans="1:6">
      <c r="A8828" s="9" t="str">
        <f>"10530829506"</f>
        <v>10530829506</v>
      </c>
      <c r="B8828" s="10">
        <v>42.14</v>
      </c>
      <c r="C8828" s="9"/>
      <c r="D8828" s="9">
        <f t="shared" si="137"/>
        <v>42.14</v>
      </c>
      <c r="E8828" s="11"/>
      <c r="F8828" s="9"/>
    </row>
    <row r="8829" s="1" customFormat="1" customHeight="1" spans="1:6">
      <c r="A8829" s="9" t="str">
        <f>"10040829507"</f>
        <v>10040829507</v>
      </c>
      <c r="B8829" s="10">
        <v>45.71</v>
      </c>
      <c r="C8829" s="9"/>
      <c r="D8829" s="9">
        <f t="shared" si="137"/>
        <v>45.71</v>
      </c>
      <c r="E8829" s="11"/>
      <c r="F8829" s="9"/>
    </row>
    <row r="8830" s="1" customFormat="1" customHeight="1" spans="1:6">
      <c r="A8830" s="9" t="str">
        <f>"10050829508"</f>
        <v>10050829508</v>
      </c>
      <c r="B8830" s="10">
        <v>51.29</v>
      </c>
      <c r="C8830" s="9"/>
      <c r="D8830" s="9">
        <f t="shared" si="137"/>
        <v>51.29</v>
      </c>
      <c r="E8830" s="11"/>
      <c r="F8830" s="9"/>
    </row>
    <row r="8831" s="1" customFormat="1" customHeight="1" spans="1:6">
      <c r="A8831" s="9" t="str">
        <f>"10360829509"</f>
        <v>10360829509</v>
      </c>
      <c r="B8831" s="10">
        <v>0</v>
      </c>
      <c r="C8831" s="9"/>
      <c r="D8831" s="9">
        <f t="shared" si="137"/>
        <v>0</v>
      </c>
      <c r="E8831" s="11"/>
      <c r="F8831" s="9" t="s">
        <v>7</v>
      </c>
    </row>
    <row r="8832" s="1" customFormat="1" customHeight="1" spans="1:6">
      <c r="A8832" s="9" t="str">
        <f>"10360829510"</f>
        <v>10360829510</v>
      </c>
      <c r="B8832" s="10">
        <v>39.81</v>
      </c>
      <c r="C8832" s="9">
        <v>10</v>
      </c>
      <c r="D8832" s="9">
        <f t="shared" si="137"/>
        <v>49.81</v>
      </c>
      <c r="E8832" s="12" t="s">
        <v>8</v>
      </c>
      <c r="F8832" s="9"/>
    </row>
    <row r="8833" s="1" customFormat="1" customHeight="1" spans="1:6">
      <c r="A8833" s="9" t="str">
        <f>"10510829511"</f>
        <v>10510829511</v>
      </c>
      <c r="B8833" s="10">
        <v>0</v>
      </c>
      <c r="C8833" s="9"/>
      <c r="D8833" s="9">
        <f t="shared" si="137"/>
        <v>0</v>
      </c>
      <c r="E8833" s="11"/>
      <c r="F8833" s="9" t="s">
        <v>7</v>
      </c>
    </row>
    <row r="8834" s="1" customFormat="1" customHeight="1" spans="1:6">
      <c r="A8834" s="9" t="str">
        <f>"10170829512"</f>
        <v>10170829512</v>
      </c>
      <c r="B8834" s="10">
        <v>36.56</v>
      </c>
      <c r="C8834" s="9"/>
      <c r="D8834" s="9">
        <f t="shared" si="137"/>
        <v>36.56</v>
      </c>
      <c r="E8834" s="11"/>
      <c r="F8834" s="9"/>
    </row>
    <row r="8835" s="1" customFormat="1" customHeight="1" spans="1:6">
      <c r="A8835" s="9" t="str">
        <f>"10330829513"</f>
        <v>10330829513</v>
      </c>
      <c r="B8835" s="10">
        <v>36.68</v>
      </c>
      <c r="C8835" s="9"/>
      <c r="D8835" s="9">
        <f t="shared" ref="D8835:D8898" si="138">SUM(B8835:C8835)</f>
        <v>36.68</v>
      </c>
      <c r="E8835" s="11"/>
      <c r="F8835" s="9"/>
    </row>
    <row r="8836" s="1" customFormat="1" customHeight="1" spans="1:6">
      <c r="A8836" s="9" t="str">
        <f>"10080829514"</f>
        <v>10080829514</v>
      </c>
      <c r="B8836" s="10">
        <v>39.37</v>
      </c>
      <c r="C8836" s="9"/>
      <c r="D8836" s="9">
        <f t="shared" si="138"/>
        <v>39.37</v>
      </c>
      <c r="E8836" s="11"/>
      <c r="F8836" s="9"/>
    </row>
    <row r="8837" s="1" customFormat="1" customHeight="1" spans="1:6">
      <c r="A8837" s="9" t="str">
        <f>"10360829515"</f>
        <v>10360829515</v>
      </c>
      <c r="B8837" s="10">
        <v>0</v>
      </c>
      <c r="C8837" s="9"/>
      <c r="D8837" s="9">
        <f t="shared" si="138"/>
        <v>0</v>
      </c>
      <c r="E8837" s="11"/>
      <c r="F8837" s="9" t="s">
        <v>7</v>
      </c>
    </row>
    <row r="8838" s="1" customFormat="1" customHeight="1" spans="1:6">
      <c r="A8838" s="9" t="str">
        <f>"10310829516"</f>
        <v>10310829516</v>
      </c>
      <c r="B8838" s="10">
        <v>50.82</v>
      </c>
      <c r="C8838" s="9"/>
      <c r="D8838" s="9">
        <f t="shared" si="138"/>
        <v>50.82</v>
      </c>
      <c r="E8838" s="11"/>
      <c r="F8838" s="9"/>
    </row>
    <row r="8839" s="1" customFormat="1" customHeight="1" spans="1:6">
      <c r="A8839" s="9" t="str">
        <f>"10330829517"</f>
        <v>10330829517</v>
      </c>
      <c r="B8839" s="10">
        <v>42.38</v>
      </c>
      <c r="C8839" s="9"/>
      <c r="D8839" s="9">
        <f t="shared" si="138"/>
        <v>42.38</v>
      </c>
      <c r="E8839" s="11"/>
      <c r="F8839" s="9"/>
    </row>
    <row r="8840" s="1" customFormat="1" customHeight="1" spans="1:6">
      <c r="A8840" s="9" t="str">
        <f>"10210829518"</f>
        <v>10210829518</v>
      </c>
      <c r="B8840" s="10">
        <v>38.46</v>
      </c>
      <c r="C8840" s="9"/>
      <c r="D8840" s="9">
        <f t="shared" si="138"/>
        <v>38.46</v>
      </c>
      <c r="E8840" s="11"/>
      <c r="F8840" s="9"/>
    </row>
    <row r="8841" s="1" customFormat="1" customHeight="1" spans="1:6">
      <c r="A8841" s="9" t="str">
        <f>"10080829519"</f>
        <v>10080829519</v>
      </c>
      <c r="B8841" s="10">
        <v>41.96</v>
      </c>
      <c r="C8841" s="9"/>
      <c r="D8841" s="9">
        <f t="shared" si="138"/>
        <v>41.96</v>
      </c>
      <c r="E8841" s="11"/>
      <c r="F8841" s="9"/>
    </row>
    <row r="8842" s="1" customFormat="1" customHeight="1" spans="1:6">
      <c r="A8842" s="9" t="str">
        <f>"10110829520"</f>
        <v>10110829520</v>
      </c>
      <c r="B8842" s="10">
        <v>42.18</v>
      </c>
      <c r="C8842" s="9"/>
      <c r="D8842" s="9">
        <f t="shared" si="138"/>
        <v>42.18</v>
      </c>
      <c r="E8842" s="11"/>
      <c r="F8842" s="9"/>
    </row>
    <row r="8843" s="1" customFormat="1" customHeight="1" spans="1:6">
      <c r="A8843" s="9" t="str">
        <f>"10340829521"</f>
        <v>10340829521</v>
      </c>
      <c r="B8843" s="10">
        <v>45.84</v>
      </c>
      <c r="C8843" s="9"/>
      <c r="D8843" s="9">
        <f t="shared" si="138"/>
        <v>45.84</v>
      </c>
      <c r="E8843" s="11"/>
      <c r="F8843" s="9"/>
    </row>
    <row r="8844" s="1" customFormat="1" customHeight="1" spans="1:6">
      <c r="A8844" s="9" t="str">
        <f>"10360829522"</f>
        <v>10360829522</v>
      </c>
      <c r="B8844" s="10">
        <v>36.86</v>
      </c>
      <c r="C8844" s="9"/>
      <c r="D8844" s="9">
        <f t="shared" si="138"/>
        <v>36.86</v>
      </c>
      <c r="E8844" s="11"/>
      <c r="F8844" s="9"/>
    </row>
    <row r="8845" s="1" customFormat="1" customHeight="1" spans="1:6">
      <c r="A8845" s="9" t="str">
        <f>"10170829523"</f>
        <v>10170829523</v>
      </c>
      <c r="B8845" s="10">
        <v>32.05</v>
      </c>
      <c r="C8845" s="9"/>
      <c r="D8845" s="9">
        <f t="shared" si="138"/>
        <v>32.05</v>
      </c>
      <c r="E8845" s="11"/>
      <c r="F8845" s="9"/>
    </row>
    <row r="8846" s="1" customFormat="1" customHeight="1" spans="1:6">
      <c r="A8846" s="9" t="str">
        <f>"10060829524"</f>
        <v>10060829524</v>
      </c>
      <c r="B8846" s="10">
        <v>40.86</v>
      </c>
      <c r="C8846" s="9"/>
      <c r="D8846" s="9">
        <f t="shared" si="138"/>
        <v>40.86</v>
      </c>
      <c r="E8846" s="11"/>
      <c r="F8846" s="9"/>
    </row>
    <row r="8847" s="1" customFormat="1" customHeight="1" spans="1:6">
      <c r="A8847" s="9" t="str">
        <f>"10510829525"</f>
        <v>10510829525</v>
      </c>
      <c r="B8847" s="10">
        <v>0</v>
      </c>
      <c r="C8847" s="9"/>
      <c r="D8847" s="9">
        <f t="shared" si="138"/>
        <v>0</v>
      </c>
      <c r="E8847" s="11"/>
      <c r="F8847" s="9" t="s">
        <v>7</v>
      </c>
    </row>
    <row r="8848" s="1" customFormat="1" customHeight="1" spans="1:6">
      <c r="A8848" s="9" t="str">
        <f>"10360829526"</f>
        <v>10360829526</v>
      </c>
      <c r="B8848" s="10">
        <v>35.13</v>
      </c>
      <c r="C8848" s="9"/>
      <c r="D8848" s="9">
        <f t="shared" si="138"/>
        <v>35.13</v>
      </c>
      <c r="E8848" s="11"/>
      <c r="F8848" s="9"/>
    </row>
    <row r="8849" s="1" customFormat="1" customHeight="1" spans="1:6">
      <c r="A8849" s="9" t="str">
        <f>"10060829527"</f>
        <v>10060829527</v>
      </c>
      <c r="B8849" s="10">
        <v>33.7</v>
      </c>
      <c r="C8849" s="9"/>
      <c r="D8849" s="9">
        <f t="shared" si="138"/>
        <v>33.7</v>
      </c>
      <c r="E8849" s="11"/>
      <c r="F8849" s="9"/>
    </row>
    <row r="8850" s="1" customFormat="1" customHeight="1" spans="1:6">
      <c r="A8850" s="9" t="str">
        <f>"10360829528"</f>
        <v>10360829528</v>
      </c>
      <c r="B8850" s="10">
        <v>46.44</v>
      </c>
      <c r="C8850" s="9"/>
      <c r="D8850" s="9">
        <f t="shared" si="138"/>
        <v>46.44</v>
      </c>
      <c r="E8850" s="11"/>
      <c r="F8850" s="9"/>
    </row>
    <row r="8851" s="1" customFormat="1" customHeight="1" spans="1:6">
      <c r="A8851" s="9" t="str">
        <f>"10500829529"</f>
        <v>10500829529</v>
      </c>
      <c r="B8851" s="10">
        <v>41.17</v>
      </c>
      <c r="C8851" s="9"/>
      <c r="D8851" s="9">
        <f t="shared" si="138"/>
        <v>41.17</v>
      </c>
      <c r="E8851" s="11"/>
      <c r="F8851" s="9"/>
    </row>
    <row r="8852" s="1" customFormat="1" customHeight="1" spans="1:6">
      <c r="A8852" s="9" t="str">
        <f>"10440829530"</f>
        <v>10440829530</v>
      </c>
      <c r="B8852" s="10">
        <v>36.91</v>
      </c>
      <c r="C8852" s="9"/>
      <c r="D8852" s="9">
        <f t="shared" si="138"/>
        <v>36.91</v>
      </c>
      <c r="E8852" s="11"/>
      <c r="F8852" s="9"/>
    </row>
    <row r="8853" s="1" customFormat="1" customHeight="1" spans="1:6">
      <c r="A8853" s="9" t="str">
        <f>"10530829601"</f>
        <v>10530829601</v>
      </c>
      <c r="B8853" s="10">
        <v>35.91</v>
      </c>
      <c r="C8853" s="9"/>
      <c r="D8853" s="9">
        <f t="shared" si="138"/>
        <v>35.91</v>
      </c>
      <c r="E8853" s="11"/>
      <c r="F8853" s="9"/>
    </row>
    <row r="8854" s="1" customFormat="1" customHeight="1" spans="1:6">
      <c r="A8854" s="9" t="str">
        <f>"10350829602"</f>
        <v>10350829602</v>
      </c>
      <c r="B8854" s="10">
        <v>0</v>
      </c>
      <c r="C8854" s="9"/>
      <c r="D8854" s="9">
        <f t="shared" si="138"/>
        <v>0</v>
      </c>
      <c r="E8854" s="11"/>
      <c r="F8854" s="9" t="s">
        <v>7</v>
      </c>
    </row>
    <row r="8855" s="1" customFormat="1" customHeight="1" spans="1:6">
      <c r="A8855" s="9" t="str">
        <f>"10300829603"</f>
        <v>10300829603</v>
      </c>
      <c r="B8855" s="10">
        <v>42.79</v>
      </c>
      <c r="C8855" s="9"/>
      <c r="D8855" s="9">
        <f t="shared" si="138"/>
        <v>42.79</v>
      </c>
      <c r="E8855" s="11"/>
      <c r="F8855" s="9"/>
    </row>
    <row r="8856" s="1" customFormat="1" customHeight="1" spans="1:6">
      <c r="A8856" s="9" t="str">
        <f>"10130829604"</f>
        <v>10130829604</v>
      </c>
      <c r="B8856" s="10">
        <v>41.89</v>
      </c>
      <c r="C8856" s="9"/>
      <c r="D8856" s="9">
        <f t="shared" si="138"/>
        <v>41.89</v>
      </c>
      <c r="E8856" s="11"/>
      <c r="F8856" s="9"/>
    </row>
    <row r="8857" s="1" customFormat="1" customHeight="1" spans="1:6">
      <c r="A8857" s="9" t="str">
        <f>"10290829605"</f>
        <v>10290829605</v>
      </c>
      <c r="B8857" s="10">
        <v>40.84</v>
      </c>
      <c r="C8857" s="9"/>
      <c r="D8857" s="9">
        <f t="shared" si="138"/>
        <v>40.84</v>
      </c>
      <c r="E8857" s="11"/>
      <c r="F8857" s="9"/>
    </row>
    <row r="8858" s="1" customFormat="1" customHeight="1" spans="1:6">
      <c r="A8858" s="9" t="str">
        <f>"10170829606"</f>
        <v>10170829606</v>
      </c>
      <c r="B8858" s="10">
        <v>35.33</v>
      </c>
      <c r="C8858" s="9"/>
      <c r="D8858" s="9">
        <f t="shared" si="138"/>
        <v>35.33</v>
      </c>
      <c r="E8858" s="11"/>
      <c r="F8858" s="9"/>
    </row>
    <row r="8859" s="1" customFormat="1" customHeight="1" spans="1:6">
      <c r="A8859" s="9" t="str">
        <f>"10410829607"</f>
        <v>10410829607</v>
      </c>
      <c r="B8859" s="10">
        <v>44.56</v>
      </c>
      <c r="C8859" s="9"/>
      <c r="D8859" s="9">
        <f t="shared" si="138"/>
        <v>44.56</v>
      </c>
      <c r="E8859" s="11"/>
      <c r="F8859" s="9"/>
    </row>
    <row r="8860" s="1" customFormat="1" customHeight="1" spans="1:6">
      <c r="A8860" s="9" t="str">
        <f>"10130829608"</f>
        <v>10130829608</v>
      </c>
      <c r="B8860" s="10">
        <v>38.67</v>
      </c>
      <c r="C8860" s="9"/>
      <c r="D8860" s="9">
        <f t="shared" si="138"/>
        <v>38.67</v>
      </c>
      <c r="E8860" s="11"/>
      <c r="F8860" s="9"/>
    </row>
    <row r="8861" s="1" customFormat="1" customHeight="1" spans="1:6">
      <c r="A8861" s="9" t="str">
        <f>"10360829609"</f>
        <v>10360829609</v>
      </c>
      <c r="B8861" s="10">
        <v>32.06</v>
      </c>
      <c r="C8861" s="9"/>
      <c r="D8861" s="9">
        <f t="shared" si="138"/>
        <v>32.06</v>
      </c>
      <c r="E8861" s="11"/>
      <c r="F8861" s="9"/>
    </row>
    <row r="8862" s="1" customFormat="1" customHeight="1" spans="1:6">
      <c r="A8862" s="9" t="str">
        <f>"10130829610"</f>
        <v>10130829610</v>
      </c>
      <c r="B8862" s="10">
        <v>0</v>
      </c>
      <c r="C8862" s="9"/>
      <c r="D8862" s="9">
        <f t="shared" si="138"/>
        <v>0</v>
      </c>
      <c r="E8862" s="11"/>
      <c r="F8862" s="9" t="s">
        <v>7</v>
      </c>
    </row>
    <row r="8863" s="1" customFormat="1" customHeight="1" spans="1:6">
      <c r="A8863" s="9" t="str">
        <f>"10360829611"</f>
        <v>10360829611</v>
      </c>
      <c r="B8863" s="10">
        <v>38.02</v>
      </c>
      <c r="C8863" s="9"/>
      <c r="D8863" s="9">
        <f t="shared" si="138"/>
        <v>38.02</v>
      </c>
      <c r="E8863" s="11"/>
      <c r="F8863" s="9"/>
    </row>
    <row r="8864" s="1" customFormat="1" customHeight="1" spans="1:6">
      <c r="A8864" s="9" t="str">
        <f>"10060829612"</f>
        <v>10060829612</v>
      </c>
      <c r="B8864" s="10">
        <v>34.12</v>
      </c>
      <c r="C8864" s="9"/>
      <c r="D8864" s="9">
        <f t="shared" si="138"/>
        <v>34.12</v>
      </c>
      <c r="E8864" s="11"/>
      <c r="F8864" s="9"/>
    </row>
    <row r="8865" s="1" customFormat="1" customHeight="1" spans="1:6">
      <c r="A8865" s="9" t="str">
        <f>"20270829613"</f>
        <v>20270829613</v>
      </c>
      <c r="B8865" s="10">
        <v>47.88</v>
      </c>
      <c r="C8865" s="9"/>
      <c r="D8865" s="9">
        <f t="shared" si="138"/>
        <v>47.88</v>
      </c>
      <c r="E8865" s="11"/>
      <c r="F8865" s="9"/>
    </row>
    <row r="8866" s="1" customFormat="1" customHeight="1" spans="1:6">
      <c r="A8866" s="9" t="str">
        <f>"10330829614"</f>
        <v>10330829614</v>
      </c>
      <c r="B8866" s="10">
        <v>38.23</v>
      </c>
      <c r="C8866" s="9"/>
      <c r="D8866" s="9">
        <f t="shared" si="138"/>
        <v>38.23</v>
      </c>
      <c r="E8866" s="11"/>
      <c r="F8866" s="9"/>
    </row>
    <row r="8867" s="1" customFormat="1" customHeight="1" spans="1:6">
      <c r="A8867" s="9" t="str">
        <f>"10500829615"</f>
        <v>10500829615</v>
      </c>
      <c r="B8867" s="10">
        <v>36.74</v>
      </c>
      <c r="C8867" s="9">
        <v>10</v>
      </c>
      <c r="D8867" s="9">
        <f t="shared" si="138"/>
        <v>46.74</v>
      </c>
      <c r="E8867" s="12" t="s">
        <v>8</v>
      </c>
      <c r="F8867" s="9"/>
    </row>
    <row r="8868" s="1" customFormat="1" customHeight="1" spans="1:6">
      <c r="A8868" s="9" t="str">
        <f>"10530829616"</f>
        <v>10530829616</v>
      </c>
      <c r="B8868" s="10">
        <v>51.24</v>
      </c>
      <c r="C8868" s="9"/>
      <c r="D8868" s="9">
        <f t="shared" si="138"/>
        <v>51.24</v>
      </c>
      <c r="E8868" s="11"/>
      <c r="F8868" s="9"/>
    </row>
    <row r="8869" s="1" customFormat="1" customHeight="1" spans="1:6">
      <c r="A8869" s="9" t="str">
        <f>"10100829617"</f>
        <v>10100829617</v>
      </c>
      <c r="B8869" s="10">
        <v>0</v>
      </c>
      <c r="C8869" s="9"/>
      <c r="D8869" s="9">
        <f t="shared" si="138"/>
        <v>0</v>
      </c>
      <c r="E8869" s="11"/>
      <c r="F8869" s="9" t="s">
        <v>7</v>
      </c>
    </row>
    <row r="8870" s="1" customFormat="1" customHeight="1" spans="1:6">
      <c r="A8870" s="9" t="str">
        <f>"10300829618"</f>
        <v>10300829618</v>
      </c>
      <c r="B8870" s="10">
        <v>45.79</v>
      </c>
      <c r="C8870" s="9"/>
      <c r="D8870" s="9">
        <f t="shared" si="138"/>
        <v>45.79</v>
      </c>
      <c r="E8870" s="11"/>
      <c r="F8870" s="9"/>
    </row>
    <row r="8871" s="1" customFormat="1" customHeight="1" spans="1:6">
      <c r="A8871" s="9" t="str">
        <f>"10090829619"</f>
        <v>10090829619</v>
      </c>
      <c r="B8871" s="10">
        <v>45.54</v>
      </c>
      <c r="C8871" s="9"/>
      <c r="D8871" s="9">
        <f t="shared" si="138"/>
        <v>45.54</v>
      </c>
      <c r="E8871" s="11"/>
      <c r="F8871" s="9"/>
    </row>
    <row r="8872" s="1" customFormat="1" customHeight="1" spans="1:6">
      <c r="A8872" s="9" t="str">
        <f>"10180829620"</f>
        <v>10180829620</v>
      </c>
      <c r="B8872" s="10">
        <v>48.23</v>
      </c>
      <c r="C8872" s="9"/>
      <c r="D8872" s="9">
        <f t="shared" si="138"/>
        <v>48.23</v>
      </c>
      <c r="E8872" s="11"/>
      <c r="F8872" s="9"/>
    </row>
    <row r="8873" s="1" customFormat="1" customHeight="1" spans="1:6">
      <c r="A8873" s="9" t="str">
        <f>"10360829621"</f>
        <v>10360829621</v>
      </c>
      <c r="B8873" s="10">
        <v>33.2</v>
      </c>
      <c r="C8873" s="9"/>
      <c r="D8873" s="9">
        <f t="shared" si="138"/>
        <v>33.2</v>
      </c>
      <c r="E8873" s="11"/>
      <c r="F8873" s="9"/>
    </row>
    <row r="8874" s="1" customFormat="1" customHeight="1" spans="1:6">
      <c r="A8874" s="9" t="str">
        <f>"10130829622"</f>
        <v>10130829622</v>
      </c>
      <c r="B8874" s="10">
        <v>40.82</v>
      </c>
      <c r="C8874" s="9"/>
      <c r="D8874" s="9">
        <f t="shared" si="138"/>
        <v>40.82</v>
      </c>
      <c r="E8874" s="11"/>
      <c r="F8874" s="9"/>
    </row>
    <row r="8875" s="1" customFormat="1" customHeight="1" spans="1:6">
      <c r="A8875" s="9" t="str">
        <f>"10440829623"</f>
        <v>10440829623</v>
      </c>
      <c r="B8875" s="10">
        <v>49.39</v>
      </c>
      <c r="C8875" s="9"/>
      <c r="D8875" s="9">
        <f t="shared" si="138"/>
        <v>49.39</v>
      </c>
      <c r="E8875" s="11"/>
      <c r="F8875" s="9"/>
    </row>
    <row r="8876" s="1" customFormat="1" customHeight="1" spans="1:6">
      <c r="A8876" s="9" t="str">
        <f>"10300829624"</f>
        <v>10300829624</v>
      </c>
      <c r="B8876" s="10">
        <v>34.41</v>
      </c>
      <c r="C8876" s="9"/>
      <c r="D8876" s="9">
        <f t="shared" si="138"/>
        <v>34.41</v>
      </c>
      <c r="E8876" s="11"/>
      <c r="F8876" s="9"/>
    </row>
    <row r="8877" s="1" customFormat="1" customHeight="1" spans="1:6">
      <c r="A8877" s="9" t="str">
        <f>"10360829625"</f>
        <v>10360829625</v>
      </c>
      <c r="B8877" s="10">
        <v>35.77</v>
      </c>
      <c r="C8877" s="9"/>
      <c r="D8877" s="9">
        <f t="shared" si="138"/>
        <v>35.77</v>
      </c>
      <c r="E8877" s="11"/>
      <c r="F8877" s="9"/>
    </row>
    <row r="8878" s="1" customFormat="1" customHeight="1" spans="1:6">
      <c r="A8878" s="9" t="str">
        <f>"10300829626"</f>
        <v>10300829626</v>
      </c>
      <c r="B8878" s="10">
        <v>0</v>
      </c>
      <c r="C8878" s="9"/>
      <c r="D8878" s="9">
        <f t="shared" si="138"/>
        <v>0</v>
      </c>
      <c r="E8878" s="11"/>
      <c r="F8878" s="9" t="s">
        <v>7</v>
      </c>
    </row>
    <row r="8879" s="1" customFormat="1" customHeight="1" spans="1:6">
      <c r="A8879" s="9" t="str">
        <f>"10090829627"</f>
        <v>10090829627</v>
      </c>
      <c r="B8879" s="10">
        <v>0</v>
      </c>
      <c r="C8879" s="9"/>
      <c r="D8879" s="9">
        <f t="shared" si="138"/>
        <v>0</v>
      </c>
      <c r="E8879" s="11"/>
      <c r="F8879" s="9" t="s">
        <v>7</v>
      </c>
    </row>
    <row r="8880" s="1" customFormat="1" customHeight="1" spans="1:6">
      <c r="A8880" s="9" t="str">
        <f>"10120829628"</f>
        <v>10120829628</v>
      </c>
      <c r="B8880" s="10">
        <v>0</v>
      </c>
      <c r="C8880" s="9"/>
      <c r="D8880" s="9">
        <f t="shared" si="138"/>
        <v>0</v>
      </c>
      <c r="E8880" s="11"/>
      <c r="F8880" s="9" t="s">
        <v>7</v>
      </c>
    </row>
    <row r="8881" s="1" customFormat="1" customHeight="1" spans="1:6">
      <c r="A8881" s="9" t="str">
        <f>"10100829629"</f>
        <v>10100829629</v>
      </c>
      <c r="B8881" s="10">
        <v>29.3</v>
      </c>
      <c r="C8881" s="9"/>
      <c r="D8881" s="9">
        <f t="shared" si="138"/>
        <v>29.3</v>
      </c>
      <c r="E8881" s="11"/>
      <c r="F8881" s="9"/>
    </row>
    <row r="8882" s="1" customFormat="1" customHeight="1" spans="1:6">
      <c r="A8882" s="9" t="str">
        <f>"10210829630"</f>
        <v>10210829630</v>
      </c>
      <c r="B8882" s="10">
        <v>43.07</v>
      </c>
      <c r="C8882" s="9"/>
      <c r="D8882" s="9">
        <f t="shared" si="138"/>
        <v>43.07</v>
      </c>
      <c r="E8882" s="11"/>
      <c r="F8882" s="9"/>
    </row>
    <row r="8883" s="1" customFormat="1" customHeight="1" spans="1:6">
      <c r="A8883" s="9" t="str">
        <f>"10130829701"</f>
        <v>10130829701</v>
      </c>
      <c r="B8883" s="10">
        <v>51.01</v>
      </c>
      <c r="C8883" s="9"/>
      <c r="D8883" s="9">
        <f t="shared" si="138"/>
        <v>51.01</v>
      </c>
      <c r="E8883" s="11"/>
      <c r="F8883" s="9"/>
    </row>
    <row r="8884" s="1" customFormat="1" customHeight="1" spans="1:6">
      <c r="A8884" s="9" t="str">
        <f>"10130829702"</f>
        <v>10130829702</v>
      </c>
      <c r="B8884" s="10">
        <v>0</v>
      </c>
      <c r="C8884" s="9"/>
      <c r="D8884" s="9">
        <f t="shared" si="138"/>
        <v>0</v>
      </c>
      <c r="E8884" s="11"/>
      <c r="F8884" s="9" t="s">
        <v>7</v>
      </c>
    </row>
    <row r="8885" s="1" customFormat="1" customHeight="1" spans="1:6">
      <c r="A8885" s="9" t="str">
        <f>"10360829703"</f>
        <v>10360829703</v>
      </c>
      <c r="B8885" s="10">
        <v>34.75</v>
      </c>
      <c r="C8885" s="9"/>
      <c r="D8885" s="9">
        <f t="shared" si="138"/>
        <v>34.75</v>
      </c>
      <c r="E8885" s="11"/>
      <c r="F8885" s="9"/>
    </row>
    <row r="8886" s="1" customFormat="1" customHeight="1" spans="1:6">
      <c r="A8886" s="9" t="str">
        <f>"10240829704"</f>
        <v>10240829704</v>
      </c>
      <c r="B8886" s="10">
        <v>0</v>
      </c>
      <c r="C8886" s="9"/>
      <c r="D8886" s="9">
        <f t="shared" si="138"/>
        <v>0</v>
      </c>
      <c r="E8886" s="11"/>
      <c r="F8886" s="9" t="s">
        <v>7</v>
      </c>
    </row>
    <row r="8887" s="1" customFormat="1" customHeight="1" spans="1:6">
      <c r="A8887" s="9" t="str">
        <f>"10460829705"</f>
        <v>10460829705</v>
      </c>
      <c r="B8887" s="10">
        <v>43.06</v>
      </c>
      <c r="C8887" s="9"/>
      <c r="D8887" s="9">
        <f t="shared" si="138"/>
        <v>43.06</v>
      </c>
      <c r="E8887" s="11"/>
      <c r="F8887" s="9"/>
    </row>
    <row r="8888" s="1" customFormat="1" customHeight="1" spans="1:6">
      <c r="A8888" s="9" t="str">
        <f>"10300829706"</f>
        <v>10300829706</v>
      </c>
      <c r="B8888" s="10">
        <v>44.11</v>
      </c>
      <c r="C8888" s="9"/>
      <c r="D8888" s="9">
        <f t="shared" si="138"/>
        <v>44.11</v>
      </c>
      <c r="E8888" s="11"/>
      <c r="F8888" s="9"/>
    </row>
    <row r="8889" s="1" customFormat="1" customHeight="1" spans="1:6">
      <c r="A8889" s="9" t="str">
        <f>"10080829707"</f>
        <v>10080829707</v>
      </c>
      <c r="B8889" s="10">
        <v>0</v>
      </c>
      <c r="C8889" s="9"/>
      <c r="D8889" s="9">
        <f t="shared" si="138"/>
        <v>0</v>
      </c>
      <c r="E8889" s="11"/>
      <c r="F8889" s="9" t="s">
        <v>7</v>
      </c>
    </row>
    <row r="8890" s="1" customFormat="1" customHeight="1" spans="1:6">
      <c r="A8890" s="9" t="str">
        <f>"10360829708"</f>
        <v>10360829708</v>
      </c>
      <c r="B8890" s="10">
        <v>0</v>
      </c>
      <c r="C8890" s="9"/>
      <c r="D8890" s="9">
        <f t="shared" si="138"/>
        <v>0</v>
      </c>
      <c r="E8890" s="11"/>
      <c r="F8890" s="9" t="s">
        <v>7</v>
      </c>
    </row>
    <row r="8891" s="1" customFormat="1" customHeight="1" spans="1:6">
      <c r="A8891" s="9" t="str">
        <f>"10210829709"</f>
        <v>10210829709</v>
      </c>
      <c r="B8891" s="10">
        <v>0</v>
      </c>
      <c r="C8891" s="9"/>
      <c r="D8891" s="9">
        <f t="shared" si="138"/>
        <v>0</v>
      </c>
      <c r="E8891" s="11"/>
      <c r="F8891" s="9" t="s">
        <v>7</v>
      </c>
    </row>
    <row r="8892" s="1" customFormat="1" customHeight="1" spans="1:6">
      <c r="A8892" s="9" t="str">
        <f>"10350829710"</f>
        <v>10350829710</v>
      </c>
      <c r="B8892" s="10">
        <v>42.19</v>
      </c>
      <c r="C8892" s="9"/>
      <c r="D8892" s="9">
        <f t="shared" si="138"/>
        <v>42.19</v>
      </c>
      <c r="E8892" s="11"/>
      <c r="F8892" s="9"/>
    </row>
    <row r="8893" s="1" customFormat="1" customHeight="1" spans="1:6">
      <c r="A8893" s="9" t="str">
        <f>"10360829711"</f>
        <v>10360829711</v>
      </c>
      <c r="B8893" s="10">
        <v>36.71</v>
      </c>
      <c r="C8893" s="9"/>
      <c r="D8893" s="9">
        <f t="shared" si="138"/>
        <v>36.71</v>
      </c>
      <c r="E8893" s="11"/>
      <c r="F8893" s="9"/>
    </row>
    <row r="8894" s="1" customFormat="1" customHeight="1" spans="1:6">
      <c r="A8894" s="9" t="str">
        <f>"10040829712"</f>
        <v>10040829712</v>
      </c>
      <c r="B8894" s="10">
        <v>37.48</v>
      </c>
      <c r="C8894" s="9"/>
      <c r="D8894" s="9">
        <f t="shared" si="138"/>
        <v>37.48</v>
      </c>
      <c r="E8894" s="11"/>
      <c r="F8894" s="9"/>
    </row>
    <row r="8895" s="1" customFormat="1" customHeight="1" spans="1:6">
      <c r="A8895" s="9" t="str">
        <f>"10490829713"</f>
        <v>10490829713</v>
      </c>
      <c r="B8895" s="10">
        <v>0</v>
      </c>
      <c r="C8895" s="9"/>
      <c r="D8895" s="9">
        <f t="shared" si="138"/>
        <v>0</v>
      </c>
      <c r="E8895" s="11"/>
      <c r="F8895" s="9" t="s">
        <v>7</v>
      </c>
    </row>
    <row r="8896" s="1" customFormat="1" customHeight="1" spans="1:6">
      <c r="A8896" s="9" t="str">
        <f>"10330829714"</f>
        <v>10330829714</v>
      </c>
      <c r="B8896" s="10">
        <v>0</v>
      </c>
      <c r="C8896" s="9"/>
      <c r="D8896" s="9">
        <f t="shared" si="138"/>
        <v>0</v>
      </c>
      <c r="E8896" s="11"/>
      <c r="F8896" s="9" t="s">
        <v>7</v>
      </c>
    </row>
    <row r="8897" s="1" customFormat="1" customHeight="1" spans="1:6">
      <c r="A8897" s="9" t="str">
        <f>"10510829715"</f>
        <v>10510829715</v>
      </c>
      <c r="B8897" s="10">
        <v>0</v>
      </c>
      <c r="C8897" s="9"/>
      <c r="D8897" s="9">
        <f t="shared" si="138"/>
        <v>0</v>
      </c>
      <c r="E8897" s="11"/>
      <c r="F8897" s="9" t="s">
        <v>7</v>
      </c>
    </row>
    <row r="8898" s="1" customFormat="1" customHeight="1" spans="1:6">
      <c r="A8898" s="9" t="str">
        <f>"10320829716"</f>
        <v>10320829716</v>
      </c>
      <c r="B8898" s="10">
        <v>0</v>
      </c>
      <c r="C8898" s="9"/>
      <c r="D8898" s="9">
        <f t="shared" si="138"/>
        <v>0</v>
      </c>
      <c r="E8898" s="11"/>
      <c r="F8898" s="9" t="s">
        <v>7</v>
      </c>
    </row>
    <row r="8899" s="1" customFormat="1" customHeight="1" spans="1:6">
      <c r="A8899" s="9" t="str">
        <f>"10440829717"</f>
        <v>10440829717</v>
      </c>
      <c r="B8899" s="10">
        <v>0</v>
      </c>
      <c r="C8899" s="9"/>
      <c r="D8899" s="9">
        <f t="shared" ref="D8899:D8962" si="139">SUM(B8899:C8899)</f>
        <v>0</v>
      </c>
      <c r="E8899" s="11"/>
      <c r="F8899" s="9" t="s">
        <v>7</v>
      </c>
    </row>
    <row r="8900" s="1" customFormat="1" customHeight="1" spans="1:6">
      <c r="A8900" s="9" t="str">
        <f>"10290829718"</f>
        <v>10290829718</v>
      </c>
      <c r="B8900" s="10">
        <v>0</v>
      </c>
      <c r="C8900" s="9"/>
      <c r="D8900" s="9">
        <f t="shared" si="139"/>
        <v>0</v>
      </c>
      <c r="E8900" s="11"/>
      <c r="F8900" s="9" t="s">
        <v>7</v>
      </c>
    </row>
    <row r="8901" s="1" customFormat="1" customHeight="1" spans="1:6">
      <c r="A8901" s="9" t="str">
        <f>"10360829719"</f>
        <v>10360829719</v>
      </c>
      <c r="B8901" s="10">
        <v>35.95</v>
      </c>
      <c r="C8901" s="9"/>
      <c r="D8901" s="9">
        <f t="shared" si="139"/>
        <v>35.95</v>
      </c>
      <c r="E8901" s="11"/>
      <c r="F8901" s="9"/>
    </row>
    <row r="8902" s="1" customFormat="1" customHeight="1" spans="1:6">
      <c r="A8902" s="9" t="str">
        <f>"10440829720"</f>
        <v>10440829720</v>
      </c>
      <c r="B8902" s="10">
        <v>42.52</v>
      </c>
      <c r="C8902" s="9"/>
      <c r="D8902" s="9">
        <f t="shared" si="139"/>
        <v>42.52</v>
      </c>
      <c r="E8902" s="11"/>
      <c r="F8902" s="9"/>
    </row>
    <row r="8903" s="1" customFormat="1" customHeight="1" spans="1:6">
      <c r="A8903" s="9" t="str">
        <f>"10440829721"</f>
        <v>10440829721</v>
      </c>
      <c r="B8903" s="10">
        <v>40.2</v>
      </c>
      <c r="C8903" s="9"/>
      <c r="D8903" s="9">
        <f t="shared" si="139"/>
        <v>40.2</v>
      </c>
      <c r="E8903" s="11"/>
      <c r="F8903" s="9"/>
    </row>
    <row r="8904" s="1" customFormat="1" customHeight="1" spans="1:6">
      <c r="A8904" s="9" t="str">
        <f>"10480829722"</f>
        <v>10480829722</v>
      </c>
      <c r="B8904" s="10">
        <v>0</v>
      </c>
      <c r="C8904" s="9"/>
      <c r="D8904" s="9">
        <f t="shared" si="139"/>
        <v>0</v>
      </c>
      <c r="E8904" s="11"/>
      <c r="F8904" s="9" t="s">
        <v>7</v>
      </c>
    </row>
    <row r="8905" s="1" customFormat="1" customHeight="1" spans="1:6">
      <c r="A8905" s="9" t="str">
        <f>"10360829723"</f>
        <v>10360829723</v>
      </c>
      <c r="B8905" s="10">
        <v>37.26</v>
      </c>
      <c r="C8905" s="9"/>
      <c r="D8905" s="9">
        <f t="shared" si="139"/>
        <v>37.26</v>
      </c>
      <c r="E8905" s="11"/>
      <c r="F8905" s="9"/>
    </row>
    <row r="8906" s="1" customFormat="1" customHeight="1" spans="1:6">
      <c r="A8906" s="9" t="str">
        <f>"10530829724"</f>
        <v>10530829724</v>
      </c>
      <c r="B8906" s="10">
        <v>36.66</v>
      </c>
      <c r="C8906" s="9"/>
      <c r="D8906" s="9">
        <f t="shared" si="139"/>
        <v>36.66</v>
      </c>
      <c r="E8906" s="11"/>
      <c r="F8906" s="9"/>
    </row>
    <row r="8907" s="1" customFormat="1" customHeight="1" spans="1:6">
      <c r="A8907" s="9" t="str">
        <f>"10360829725"</f>
        <v>10360829725</v>
      </c>
      <c r="B8907" s="10">
        <v>0</v>
      </c>
      <c r="C8907" s="9"/>
      <c r="D8907" s="9">
        <f t="shared" si="139"/>
        <v>0</v>
      </c>
      <c r="E8907" s="11"/>
      <c r="F8907" s="9" t="s">
        <v>7</v>
      </c>
    </row>
    <row r="8908" s="1" customFormat="1" customHeight="1" spans="1:6">
      <c r="A8908" s="9" t="str">
        <f>"10520829726"</f>
        <v>10520829726</v>
      </c>
      <c r="B8908" s="10">
        <v>35.1</v>
      </c>
      <c r="C8908" s="9"/>
      <c r="D8908" s="9">
        <f t="shared" si="139"/>
        <v>35.1</v>
      </c>
      <c r="E8908" s="11"/>
      <c r="F8908" s="9"/>
    </row>
    <row r="8909" s="1" customFormat="1" customHeight="1" spans="1:6">
      <c r="A8909" s="9" t="str">
        <f>"10530829727"</f>
        <v>10530829727</v>
      </c>
      <c r="B8909" s="10">
        <v>34.73</v>
      </c>
      <c r="C8909" s="9"/>
      <c r="D8909" s="9">
        <f t="shared" si="139"/>
        <v>34.73</v>
      </c>
      <c r="E8909" s="11"/>
      <c r="F8909" s="9"/>
    </row>
    <row r="8910" s="1" customFormat="1" customHeight="1" spans="1:6">
      <c r="A8910" s="9" t="str">
        <f>"10510829728"</f>
        <v>10510829728</v>
      </c>
      <c r="B8910" s="10">
        <v>40.71</v>
      </c>
      <c r="C8910" s="9"/>
      <c r="D8910" s="9">
        <f t="shared" si="139"/>
        <v>40.71</v>
      </c>
      <c r="E8910" s="11"/>
      <c r="F8910" s="9"/>
    </row>
    <row r="8911" s="1" customFormat="1" customHeight="1" spans="1:6">
      <c r="A8911" s="9" t="str">
        <f>"10360829729"</f>
        <v>10360829729</v>
      </c>
      <c r="B8911" s="10">
        <v>50.92</v>
      </c>
      <c r="C8911" s="9"/>
      <c r="D8911" s="9">
        <f t="shared" si="139"/>
        <v>50.92</v>
      </c>
      <c r="E8911" s="11"/>
      <c r="F8911" s="9"/>
    </row>
    <row r="8912" s="1" customFormat="1" customHeight="1" spans="1:6">
      <c r="A8912" s="9" t="str">
        <f>"10330829730"</f>
        <v>10330829730</v>
      </c>
      <c r="B8912" s="10">
        <v>0</v>
      </c>
      <c r="C8912" s="9"/>
      <c r="D8912" s="9">
        <f t="shared" si="139"/>
        <v>0</v>
      </c>
      <c r="E8912" s="11"/>
      <c r="F8912" s="9" t="s">
        <v>7</v>
      </c>
    </row>
    <row r="8913" s="1" customFormat="1" customHeight="1" spans="1:6">
      <c r="A8913" s="9" t="str">
        <f>"10360829801"</f>
        <v>10360829801</v>
      </c>
      <c r="B8913" s="10">
        <v>0</v>
      </c>
      <c r="C8913" s="9"/>
      <c r="D8913" s="9">
        <f t="shared" si="139"/>
        <v>0</v>
      </c>
      <c r="E8913" s="11"/>
      <c r="F8913" s="9" t="s">
        <v>7</v>
      </c>
    </row>
    <row r="8914" s="1" customFormat="1" customHeight="1" spans="1:6">
      <c r="A8914" s="9" t="str">
        <f>"10360829802"</f>
        <v>10360829802</v>
      </c>
      <c r="B8914" s="10">
        <v>0</v>
      </c>
      <c r="C8914" s="9"/>
      <c r="D8914" s="9">
        <f t="shared" si="139"/>
        <v>0</v>
      </c>
      <c r="E8914" s="11"/>
      <c r="F8914" s="9" t="s">
        <v>7</v>
      </c>
    </row>
    <row r="8915" s="1" customFormat="1" customHeight="1" spans="1:6">
      <c r="A8915" s="9" t="str">
        <f>"10110829803"</f>
        <v>10110829803</v>
      </c>
      <c r="B8915" s="10">
        <v>0</v>
      </c>
      <c r="C8915" s="9"/>
      <c r="D8915" s="9">
        <f t="shared" si="139"/>
        <v>0</v>
      </c>
      <c r="E8915" s="11"/>
      <c r="F8915" s="9" t="s">
        <v>7</v>
      </c>
    </row>
    <row r="8916" s="1" customFormat="1" customHeight="1" spans="1:6">
      <c r="A8916" s="9" t="str">
        <f>"10470829804"</f>
        <v>10470829804</v>
      </c>
      <c r="B8916" s="10">
        <v>39</v>
      </c>
      <c r="C8916" s="9"/>
      <c r="D8916" s="9">
        <f t="shared" si="139"/>
        <v>39</v>
      </c>
      <c r="E8916" s="11"/>
      <c r="F8916" s="9"/>
    </row>
    <row r="8917" s="1" customFormat="1" customHeight="1" spans="1:6">
      <c r="A8917" s="9" t="str">
        <f>"10110829805"</f>
        <v>10110829805</v>
      </c>
      <c r="B8917" s="10">
        <v>0</v>
      </c>
      <c r="C8917" s="9"/>
      <c r="D8917" s="9">
        <f t="shared" si="139"/>
        <v>0</v>
      </c>
      <c r="E8917" s="11"/>
      <c r="F8917" s="9" t="s">
        <v>7</v>
      </c>
    </row>
    <row r="8918" s="1" customFormat="1" customHeight="1" spans="1:6">
      <c r="A8918" s="9" t="str">
        <f>"10100829806"</f>
        <v>10100829806</v>
      </c>
      <c r="B8918" s="10">
        <v>43.88</v>
      </c>
      <c r="C8918" s="9"/>
      <c r="D8918" s="9">
        <f t="shared" si="139"/>
        <v>43.88</v>
      </c>
      <c r="E8918" s="11"/>
      <c r="F8918" s="9"/>
    </row>
    <row r="8919" s="1" customFormat="1" customHeight="1" spans="1:6">
      <c r="A8919" s="9" t="str">
        <f>"10500829807"</f>
        <v>10500829807</v>
      </c>
      <c r="B8919" s="10">
        <v>33.41</v>
      </c>
      <c r="C8919" s="9"/>
      <c r="D8919" s="9">
        <f t="shared" si="139"/>
        <v>33.41</v>
      </c>
      <c r="E8919" s="11"/>
      <c r="F8919" s="9"/>
    </row>
    <row r="8920" s="1" customFormat="1" customHeight="1" spans="1:6">
      <c r="A8920" s="9" t="str">
        <f>"10350829808"</f>
        <v>10350829808</v>
      </c>
      <c r="B8920" s="10">
        <v>36.15</v>
      </c>
      <c r="C8920" s="9"/>
      <c r="D8920" s="9">
        <f t="shared" si="139"/>
        <v>36.15</v>
      </c>
      <c r="E8920" s="11"/>
      <c r="F8920" s="9"/>
    </row>
    <row r="8921" s="1" customFormat="1" customHeight="1" spans="1:6">
      <c r="A8921" s="9" t="str">
        <f>"10300829809"</f>
        <v>10300829809</v>
      </c>
      <c r="B8921" s="10">
        <v>37.43</v>
      </c>
      <c r="C8921" s="9"/>
      <c r="D8921" s="9">
        <f t="shared" si="139"/>
        <v>37.43</v>
      </c>
      <c r="E8921" s="11"/>
      <c r="F8921" s="9"/>
    </row>
    <row r="8922" s="1" customFormat="1" customHeight="1" spans="1:6">
      <c r="A8922" s="9" t="str">
        <f>"10330829810"</f>
        <v>10330829810</v>
      </c>
      <c r="B8922" s="10">
        <v>34.46</v>
      </c>
      <c r="C8922" s="9"/>
      <c r="D8922" s="9">
        <f t="shared" si="139"/>
        <v>34.46</v>
      </c>
      <c r="E8922" s="11"/>
      <c r="F8922" s="9"/>
    </row>
    <row r="8923" s="1" customFormat="1" customHeight="1" spans="1:6">
      <c r="A8923" s="9" t="str">
        <f>"10080829811"</f>
        <v>10080829811</v>
      </c>
      <c r="B8923" s="10">
        <v>50.27</v>
      </c>
      <c r="C8923" s="9"/>
      <c r="D8923" s="9">
        <f t="shared" si="139"/>
        <v>50.27</v>
      </c>
      <c r="E8923" s="11"/>
      <c r="F8923" s="9"/>
    </row>
    <row r="8924" s="1" customFormat="1" customHeight="1" spans="1:6">
      <c r="A8924" s="9" t="str">
        <f>"10510829812"</f>
        <v>10510829812</v>
      </c>
      <c r="B8924" s="10">
        <v>42.71</v>
      </c>
      <c r="C8924" s="9"/>
      <c r="D8924" s="9">
        <f t="shared" si="139"/>
        <v>42.71</v>
      </c>
      <c r="E8924" s="11"/>
      <c r="F8924" s="9"/>
    </row>
    <row r="8925" s="1" customFormat="1" customHeight="1" spans="1:6">
      <c r="A8925" s="9" t="str">
        <f>"10360829813"</f>
        <v>10360829813</v>
      </c>
      <c r="B8925" s="10">
        <v>44.79</v>
      </c>
      <c r="C8925" s="9"/>
      <c r="D8925" s="9">
        <f t="shared" si="139"/>
        <v>44.79</v>
      </c>
      <c r="E8925" s="11"/>
      <c r="F8925" s="9"/>
    </row>
    <row r="8926" s="1" customFormat="1" customHeight="1" spans="1:6">
      <c r="A8926" s="9" t="str">
        <f>"10060829814"</f>
        <v>10060829814</v>
      </c>
      <c r="B8926" s="10">
        <v>39.39</v>
      </c>
      <c r="C8926" s="9"/>
      <c r="D8926" s="9">
        <f t="shared" si="139"/>
        <v>39.39</v>
      </c>
      <c r="E8926" s="11"/>
      <c r="F8926" s="9"/>
    </row>
    <row r="8927" s="1" customFormat="1" customHeight="1" spans="1:6">
      <c r="A8927" s="9" t="str">
        <f>"10360829815"</f>
        <v>10360829815</v>
      </c>
      <c r="B8927" s="10">
        <v>35.28</v>
      </c>
      <c r="C8927" s="9"/>
      <c r="D8927" s="9">
        <f t="shared" si="139"/>
        <v>35.28</v>
      </c>
      <c r="E8927" s="11"/>
      <c r="F8927" s="9"/>
    </row>
    <row r="8928" s="1" customFormat="1" customHeight="1" spans="1:6">
      <c r="A8928" s="9" t="str">
        <f>"10290829816"</f>
        <v>10290829816</v>
      </c>
      <c r="B8928" s="10">
        <v>0</v>
      </c>
      <c r="C8928" s="9"/>
      <c r="D8928" s="9">
        <f t="shared" si="139"/>
        <v>0</v>
      </c>
      <c r="E8928" s="11"/>
      <c r="F8928" s="9" t="s">
        <v>7</v>
      </c>
    </row>
    <row r="8929" s="1" customFormat="1" customHeight="1" spans="1:6">
      <c r="A8929" s="9" t="str">
        <f>"10240829817"</f>
        <v>10240829817</v>
      </c>
      <c r="B8929" s="10">
        <v>45.94</v>
      </c>
      <c r="C8929" s="9"/>
      <c r="D8929" s="9">
        <f t="shared" si="139"/>
        <v>45.94</v>
      </c>
      <c r="E8929" s="11"/>
      <c r="F8929" s="9"/>
    </row>
    <row r="8930" s="1" customFormat="1" customHeight="1" spans="1:6">
      <c r="A8930" s="9" t="str">
        <f>"20180829818"</f>
        <v>20180829818</v>
      </c>
      <c r="B8930" s="10">
        <v>35.06</v>
      </c>
      <c r="C8930" s="9"/>
      <c r="D8930" s="9">
        <f t="shared" si="139"/>
        <v>35.06</v>
      </c>
      <c r="E8930" s="11"/>
      <c r="F8930" s="9"/>
    </row>
    <row r="8931" s="1" customFormat="1" customHeight="1" spans="1:6">
      <c r="A8931" s="9" t="str">
        <f>"10210829819"</f>
        <v>10210829819</v>
      </c>
      <c r="B8931" s="10">
        <v>42.72</v>
      </c>
      <c r="C8931" s="9"/>
      <c r="D8931" s="9">
        <f t="shared" si="139"/>
        <v>42.72</v>
      </c>
      <c r="E8931" s="11"/>
      <c r="F8931" s="9"/>
    </row>
    <row r="8932" s="1" customFormat="1" customHeight="1" spans="1:6">
      <c r="A8932" s="9" t="str">
        <f>"10090829820"</f>
        <v>10090829820</v>
      </c>
      <c r="B8932" s="10">
        <v>0</v>
      </c>
      <c r="C8932" s="9"/>
      <c r="D8932" s="9">
        <f t="shared" si="139"/>
        <v>0</v>
      </c>
      <c r="E8932" s="11"/>
      <c r="F8932" s="9" t="s">
        <v>7</v>
      </c>
    </row>
    <row r="8933" s="1" customFormat="1" customHeight="1" spans="1:6">
      <c r="A8933" s="9" t="str">
        <f>"10320829821"</f>
        <v>10320829821</v>
      </c>
      <c r="B8933" s="10">
        <v>38.11</v>
      </c>
      <c r="C8933" s="9"/>
      <c r="D8933" s="9">
        <f t="shared" si="139"/>
        <v>38.11</v>
      </c>
      <c r="E8933" s="11"/>
      <c r="F8933" s="9"/>
    </row>
    <row r="8934" s="1" customFormat="1" customHeight="1" spans="1:6">
      <c r="A8934" s="9" t="str">
        <f>"10440829822"</f>
        <v>10440829822</v>
      </c>
      <c r="B8934" s="10">
        <v>52.26</v>
      </c>
      <c r="C8934" s="9"/>
      <c r="D8934" s="9">
        <f t="shared" si="139"/>
        <v>52.26</v>
      </c>
      <c r="E8934" s="11"/>
      <c r="F8934" s="9"/>
    </row>
    <row r="8935" s="1" customFormat="1" customHeight="1" spans="1:6">
      <c r="A8935" s="9" t="str">
        <f>"10530829823"</f>
        <v>10530829823</v>
      </c>
      <c r="B8935" s="10">
        <v>0</v>
      </c>
      <c r="C8935" s="9"/>
      <c r="D8935" s="9">
        <f t="shared" si="139"/>
        <v>0</v>
      </c>
      <c r="E8935" s="11"/>
      <c r="F8935" s="9" t="s">
        <v>7</v>
      </c>
    </row>
    <row r="8936" s="1" customFormat="1" customHeight="1" spans="1:6">
      <c r="A8936" s="9" t="str">
        <f>"10130829824"</f>
        <v>10130829824</v>
      </c>
      <c r="B8936" s="10">
        <v>42.31</v>
      </c>
      <c r="C8936" s="9"/>
      <c r="D8936" s="9">
        <f t="shared" si="139"/>
        <v>42.31</v>
      </c>
      <c r="E8936" s="11"/>
      <c r="F8936" s="9"/>
    </row>
    <row r="8937" s="1" customFormat="1" customHeight="1" spans="1:6">
      <c r="A8937" s="9" t="str">
        <f>"10320829825"</f>
        <v>10320829825</v>
      </c>
      <c r="B8937" s="10">
        <v>35.86</v>
      </c>
      <c r="C8937" s="9"/>
      <c r="D8937" s="9">
        <f t="shared" si="139"/>
        <v>35.86</v>
      </c>
      <c r="E8937" s="11"/>
      <c r="F8937" s="9"/>
    </row>
    <row r="8938" s="1" customFormat="1" customHeight="1" spans="1:6">
      <c r="A8938" s="9" t="str">
        <f>"10280829826"</f>
        <v>10280829826</v>
      </c>
      <c r="B8938" s="10">
        <v>36.88</v>
      </c>
      <c r="C8938" s="9"/>
      <c r="D8938" s="9">
        <f t="shared" si="139"/>
        <v>36.88</v>
      </c>
      <c r="E8938" s="11"/>
      <c r="F8938" s="9"/>
    </row>
    <row r="8939" s="1" customFormat="1" customHeight="1" spans="1:6">
      <c r="A8939" s="9" t="str">
        <f>"10530829827"</f>
        <v>10530829827</v>
      </c>
      <c r="B8939" s="10">
        <v>41.46</v>
      </c>
      <c r="C8939" s="9"/>
      <c r="D8939" s="9">
        <f t="shared" si="139"/>
        <v>41.46</v>
      </c>
      <c r="E8939" s="11"/>
      <c r="F8939" s="9"/>
    </row>
    <row r="8940" s="1" customFormat="1" customHeight="1" spans="1:6">
      <c r="A8940" s="9" t="str">
        <f>"10440829828"</f>
        <v>10440829828</v>
      </c>
      <c r="B8940" s="10">
        <v>47.98</v>
      </c>
      <c r="C8940" s="9"/>
      <c r="D8940" s="9">
        <f t="shared" si="139"/>
        <v>47.98</v>
      </c>
      <c r="E8940" s="11"/>
      <c r="F8940" s="9"/>
    </row>
    <row r="8941" s="1" customFormat="1" customHeight="1" spans="1:6">
      <c r="A8941" s="9" t="str">
        <f>"10060829829"</f>
        <v>10060829829</v>
      </c>
      <c r="B8941" s="10">
        <v>0</v>
      </c>
      <c r="C8941" s="9"/>
      <c r="D8941" s="9">
        <f t="shared" si="139"/>
        <v>0</v>
      </c>
      <c r="E8941" s="11"/>
      <c r="F8941" s="9" t="s">
        <v>7</v>
      </c>
    </row>
    <row r="8942" s="1" customFormat="1" customHeight="1" spans="1:6">
      <c r="A8942" s="9" t="str">
        <f>"10460829830"</f>
        <v>10460829830</v>
      </c>
      <c r="B8942" s="10">
        <v>43.28</v>
      </c>
      <c r="C8942" s="9"/>
      <c r="D8942" s="9">
        <f t="shared" si="139"/>
        <v>43.28</v>
      </c>
      <c r="E8942" s="11"/>
      <c r="F8942" s="9"/>
    </row>
    <row r="8943" s="1" customFormat="1" customHeight="1" spans="1:6">
      <c r="A8943" s="9" t="str">
        <f>"10360829901"</f>
        <v>10360829901</v>
      </c>
      <c r="B8943" s="10">
        <v>40.36</v>
      </c>
      <c r="C8943" s="9"/>
      <c r="D8943" s="9">
        <f t="shared" si="139"/>
        <v>40.36</v>
      </c>
      <c r="E8943" s="11"/>
      <c r="F8943" s="9"/>
    </row>
    <row r="8944" s="1" customFormat="1" customHeight="1" spans="1:6">
      <c r="A8944" s="9" t="str">
        <f>"10280829902"</f>
        <v>10280829902</v>
      </c>
      <c r="B8944" s="10">
        <v>37.39</v>
      </c>
      <c r="C8944" s="9"/>
      <c r="D8944" s="9">
        <f t="shared" si="139"/>
        <v>37.39</v>
      </c>
      <c r="E8944" s="11"/>
      <c r="F8944" s="9"/>
    </row>
    <row r="8945" s="1" customFormat="1" customHeight="1" spans="1:6">
      <c r="A8945" s="9" t="str">
        <f>"10080829903"</f>
        <v>10080829903</v>
      </c>
      <c r="B8945" s="10">
        <v>50.94</v>
      </c>
      <c r="C8945" s="9"/>
      <c r="D8945" s="9">
        <f t="shared" si="139"/>
        <v>50.94</v>
      </c>
      <c r="E8945" s="11"/>
      <c r="F8945" s="9"/>
    </row>
    <row r="8946" s="1" customFormat="1" customHeight="1" spans="1:6">
      <c r="A8946" s="9" t="str">
        <f>"10060829904"</f>
        <v>10060829904</v>
      </c>
      <c r="B8946" s="10">
        <v>0</v>
      </c>
      <c r="C8946" s="9"/>
      <c r="D8946" s="9">
        <f t="shared" si="139"/>
        <v>0</v>
      </c>
      <c r="E8946" s="11"/>
      <c r="F8946" s="9" t="s">
        <v>7</v>
      </c>
    </row>
    <row r="8947" s="1" customFormat="1" customHeight="1" spans="1:6">
      <c r="A8947" s="9" t="str">
        <f>"10170829905"</f>
        <v>10170829905</v>
      </c>
      <c r="B8947" s="10">
        <v>0</v>
      </c>
      <c r="C8947" s="9"/>
      <c r="D8947" s="9">
        <f t="shared" si="139"/>
        <v>0</v>
      </c>
      <c r="E8947" s="11"/>
      <c r="F8947" s="9" t="s">
        <v>7</v>
      </c>
    </row>
    <row r="8948" s="1" customFormat="1" customHeight="1" spans="1:6">
      <c r="A8948" s="9" t="str">
        <f>"10060829906"</f>
        <v>10060829906</v>
      </c>
      <c r="B8948" s="10">
        <v>0</v>
      </c>
      <c r="C8948" s="9"/>
      <c r="D8948" s="9">
        <f t="shared" si="139"/>
        <v>0</v>
      </c>
      <c r="E8948" s="11"/>
      <c r="F8948" s="9" t="s">
        <v>7</v>
      </c>
    </row>
    <row r="8949" s="1" customFormat="1" customHeight="1" spans="1:6">
      <c r="A8949" s="9" t="str">
        <f>"10140829907"</f>
        <v>10140829907</v>
      </c>
      <c r="B8949" s="10">
        <v>0</v>
      </c>
      <c r="C8949" s="9"/>
      <c r="D8949" s="9">
        <f t="shared" si="139"/>
        <v>0</v>
      </c>
      <c r="E8949" s="11"/>
      <c r="F8949" s="9" t="s">
        <v>7</v>
      </c>
    </row>
    <row r="8950" s="1" customFormat="1" customHeight="1" spans="1:6">
      <c r="A8950" s="9" t="str">
        <f>"10360829908"</f>
        <v>10360829908</v>
      </c>
      <c r="B8950" s="10">
        <v>40.57</v>
      </c>
      <c r="C8950" s="9"/>
      <c r="D8950" s="9">
        <f t="shared" si="139"/>
        <v>40.57</v>
      </c>
      <c r="E8950" s="11"/>
      <c r="F8950" s="9"/>
    </row>
    <row r="8951" s="1" customFormat="1" customHeight="1" spans="1:6">
      <c r="A8951" s="9" t="str">
        <f>"10060829909"</f>
        <v>10060829909</v>
      </c>
      <c r="B8951" s="10">
        <v>40.35</v>
      </c>
      <c r="C8951" s="9"/>
      <c r="D8951" s="9">
        <f t="shared" si="139"/>
        <v>40.35</v>
      </c>
      <c r="E8951" s="11"/>
      <c r="F8951" s="9"/>
    </row>
    <row r="8952" s="1" customFormat="1" customHeight="1" spans="1:6">
      <c r="A8952" s="9" t="str">
        <f>"10360829910"</f>
        <v>10360829910</v>
      </c>
      <c r="B8952" s="10">
        <v>42.47</v>
      </c>
      <c r="C8952" s="9"/>
      <c r="D8952" s="9">
        <f t="shared" si="139"/>
        <v>42.47</v>
      </c>
      <c r="E8952" s="11"/>
      <c r="F8952" s="9"/>
    </row>
    <row r="8953" s="1" customFormat="1" customHeight="1" spans="1:6">
      <c r="A8953" s="9" t="str">
        <f>"10330829911"</f>
        <v>10330829911</v>
      </c>
      <c r="B8953" s="10">
        <v>52.23</v>
      </c>
      <c r="C8953" s="9">
        <v>10</v>
      </c>
      <c r="D8953" s="9">
        <f t="shared" si="139"/>
        <v>62.23</v>
      </c>
      <c r="E8953" s="12" t="s">
        <v>8</v>
      </c>
      <c r="F8953" s="9"/>
    </row>
    <row r="8954" s="1" customFormat="1" customHeight="1" spans="1:6">
      <c r="A8954" s="9" t="str">
        <f>"10360829912"</f>
        <v>10360829912</v>
      </c>
      <c r="B8954" s="10">
        <v>0</v>
      </c>
      <c r="C8954" s="9"/>
      <c r="D8954" s="9">
        <f t="shared" si="139"/>
        <v>0</v>
      </c>
      <c r="E8954" s="11"/>
      <c r="F8954" s="9" t="s">
        <v>7</v>
      </c>
    </row>
    <row r="8955" s="1" customFormat="1" customHeight="1" spans="1:6">
      <c r="A8955" s="9" t="str">
        <f>"10240829913"</f>
        <v>10240829913</v>
      </c>
      <c r="B8955" s="10">
        <v>30.6</v>
      </c>
      <c r="C8955" s="9"/>
      <c r="D8955" s="9">
        <f t="shared" si="139"/>
        <v>30.6</v>
      </c>
      <c r="E8955" s="11"/>
      <c r="F8955" s="9"/>
    </row>
    <row r="8956" s="1" customFormat="1" customHeight="1" spans="1:6">
      <c r="A8956" s="9" t="str">
        <f>"10210829914"</f>
        <v>10210829914</v>
      </c>
      <c r="B8956" s="10">
        <v>0</v>
      </c>
      <c r="C8956" s="9"/>
      <c r="D8956" s="9">
        <f t="shared" si="139"/>
        <v>0</v>
      </c>
      <c r="E8956" s="11"/>
      <c r="F8956" s="9" t="s">
        <v>7</v>
      </c>
    </row>
    <row r="8957" s="1" customFormat="1" customHeight="1" spans="1:6">
      <c r="A8957" s="9" t="str">
        <f>"10080829915"</f>
        <v>10080829915</v>
      </c>
      <c r="B8957" s="10">
        <v>40.82</v>
      </c>
      <c r="C8957" s="9"/>
      <c r="D8957" s="9">
        <f t="shared" si="139"/>
        <v>40.82</v>
      </c>
      <c r="E8957" s="11"/>
      <c r="F8957" s="9"/>
    </row>
    <row r="8958" s="1" customFormat="1" customHeight="1" spans="1:6">
      <c r="A8958" s="9" t="str">
        <f>"10360829916"</f>
        <v>10360829916</v>
      </c>
      <c r="B8958" s="10">
        <v>0</v>
      </c>
      <c r="C8958" s="9"/>
      <c r="D8958" s="9">
        <f t="shared" si="139"/>
        <v>0</v>
      </c>
      <c r="E8958" s="11"/>
      <c r="F8958" s="9" t="s">
        <v>7</v>
      </c>
    </row>
    <row r="8959" s="1" customFormat="1" customHeight="1" spans="1:6">
      <c r="A8959" s="9" t="str">
        <f>"10360829917"</f>
        <v>10360829917</v>
      </c>
      <c r="B8959" s="10">
        <v>37.62</v>
      </c>
      <c r="C8959" s="9"/>
      <c r="D8959" s="9">
        <f t="shared" si="139"/>
        <v>37.62</v>
      </c>
      <c r="E8959" s="11"/>
      <c r="F8959" s="9"/>
    </row>
    <row r="8960" s="1" customFormat="1" customHeight="1" spans="1:6">
      <c r="A8960" s="9" t="str">
        <f>"10360829918"</f>
        <v>10360829918</v>
      </c>
      <c r="B8960" s="10">
        <v>0</v>
      </c>
      <c r="C8960" s="9"/>
      <c r="D8960" s="9">
        <f t="shared" si="139"/>
        <v>0</v>
      </c>
      <c r="E8960" s="11"/>
      <c r="F8960" s="9" t="s">
        <v>7</v>
      </c>
    </row>
    <row r="8961" s="1" customFormat="1" customHeight="1" spans="1:6">
      <c r="A8961" s="9" t="str">
        <f>"10060829919"</f>
        <v>10060829919</v>
      </c>
      <c r="B8961" s="10">
        <v>36.12</v>
      </c>
      <c r="C8961" s="9"/>
      <c r="D8961" s="9">
        <f t="shared" si="139"/>
        <v>36.12</v>
      </c>
      <c r="E8961" s="11"/>
      <c r="F8961" s="9"/>
    </row>
    <row r="8962" s="1" customFormat="1" customHeight="1" spans="1:6">
      <c r="A8962" s="9" t="str">
        <f>"10060829920"</f>
        <v>10060829920</v>
      </c>
      <c r="B8962" s="10">
        <v>37.51</v>
      </c>
      <c r="C8962" s="9"/>
      <c r="D8962" s="9">
        <f t="shared" si="139"/>
        <v>37.51</v>
      </c>
      <c r="E8962" s="11"/>
      <c r="F8962" s="9"/>
    </row>
    <row r="8963" s="1" customFormat="1" customHeight="1" spans="1:6">
      <c r="A8963" s="9" t="str">
        <f>"10510829921"</f>
        <v>10510829921</v>
      </c>
      <c r="B8963" s="10">
        <v>34.24</v>
      </c>
      <c r="C8963" s="9">
        <v>10</v>
      </c>
      <c r="D8963" s="9">
        <f t="shared" ref="D8963:D9026" si="140">SUM(B8963:C8963)</f>
        <v>44.24</v>
      </c>
      <c r="E8963" s="12" t="s">
        <v>8</v>
      </c>
      <c r="F8963" s="9"/>
    </row>
    <row r="8964" s="1" customFormat="1" customHeight="1" spans="1:6">
      <c r="A8964" s="9" t="str">
        <f>"10360829922"</f>
        <v>10360829922</v>
      </c>
      <c r="B8964" s="10">
        <v>35.26</v>
      </c>
      <c r="C8964" s="9"/>
      <c r="D8964" s="9">
        <f t="shared" si="140"/>
        <v>35.26</v>
      </c>
      <c r="E8964" s="11"/>
      <c r="F8964" s="9"/>
    </row>
    <row r="8965" s="1" customFormat="1" customHeight="1" spans="1:6">
      <c r="A8965" s="9" t="str">
        <f>"10280829923"</f>
        <v>10280829923</v>
      </c>
      <c r="B8965" s="10">
        <v>0</v>
      </c>
      <c r="C8965" s="9"/>
      <c r="D8965" s="9">
        <f t="shared" si="140"/>
        <v>0</v>
      </c>
      <c r="E8965" s="11"/>
      <c r="F8965" s="9" t="s">
        <v>7</v>
      </c>
    </row>
    <row r="8966" s="1" customFormat="1" customHeight="1" spans="1:6">
      <c r="A8966" s="9" t="str">
        <f>"10460829924"</f>
        <v>10460829924</v>
      </c>
      <c r="B8966" s="10">
        <v>37.38</v>
      </c>
      <c r="C8966" s="9"/>
      <c r="D8966" s="9">
        <f t="shared" si="140"/>
        <v>37.38</v>
      </c>
      <c r="E8966" s="11"/>
      <c r="F8966" s="9"/>
    </row>
    <row r="8967" s="1" customFormat="1" customHeight="1" spans="1:6">
      <c r="A8967" s="9" t="str">
        <f>"10510829925"</f>
        <v>10510829925</v>
      </c>
      <c r="B8967" s="10">
        <v>0</v>
      </c>
      <c r="C8967" s="9"/>
      <c r="D8967" s="9">
        <f t="shared" si="140"/>
        <v>0</v>
      </c>
      <c r="E8967" s="11"/>
      <c r="F8967" s="9" t="s">
        <v>7</v>
      </c>
    </row>
    <row r="8968" s="1" customFormat="1" customHeight="1" spans="1:6">
      <c r="A8968" s="9" t="str">
        <f>"10400829926"</f>
        <v>10400829926</v>
      </c>
      <c r="B8968" s="10">
        <v>43.53</v>
      </c>
      <c r="C8968" s="9"/>
      <c r="D8968" s="9">
        <f t="shared" si="140"/>
        <v>43.53</v>
      </c>
      <c r="E8968" s="11"/>
      <c r="F8968" s="9"/>
    </row>
    <row r="8969" s="1" customFormat="1" customHeight="1" spans="1:6">
      <c r="A8969" s="9" t="str">
        <f>"10210829927"</f>
        <v>10210829927</v>
      </c>
      <c r="B8969" s="10">
        <v>0</v>
      </c>
      <c r="C8969" s="9"/>
      <c r="D8969" s="9">
        <f t="shared" si="140"/>
        <v>0</v>
      </c>
      <c r="E8969" s="11"/>
      <c r="F8969" s="9" t="s">
        <v>7</v>
      </c>
    </row>
    <row r="8970" s="1" customFormat="1" customHeight="1" spans="1:6">
      <c r="A8970" s="9" t="str">
        <f>"10280829928"</f>
        <v>10280829928</v>
      </c>
      <c r="B8970" s="10">
        <v>45.92</v>
      </c>
      <c r="C8970" s="9"/>
      <c r="D8970" s="9">
        <f t="shared" si="140"/>
        <v>45.92</v>
      </c>
      <c r="E8970" s="11"/>
      <c r="F8970" s="9"/>
    </row>
    <row r="8971" s="1" customFormat="1" customHeight="1" spans="1:6">
      <c r="A8971" s="9" t="str">
        <f>"10360829929"</f>
        <v>10360829929</v>
      </c>
      <c r="B8971" s="10">
        <v>0</v>
      </c>
      <c r="C8971" s="9"/>
      <c r="D8971" s="9">
        <f t="shared" si="140"/>
        <v>0</v>
      </c>
      <c r="E8971" s="11"/>
      <c r="F8971" s="9" t="s">
        <v>7</v>
      </c>
    </row>
    <row r="8972" s="1" customFormat="1" customHeight="1" spans="1:6">
      <c r="A8972" s="9" t="str">
        <f>"10140829930"</f>
        <v>10140829930</v>
      </c>
      <c r="B8972" s="10">
        <v>41.07</v>
      </c>
      <c r="C8972" s="9"/>
      <c r="D8972" s="9">
        <f t="shared" si="140"/>
        <v>41.07</v>
      </c>
      <c r="E8972" s="11"/>
      <c r="F8972" s="9"/>
    </row>
    <row r="8973" s="1" customFormat="1" customHeight="1" spans="1:6">
      <c r="A8973" s="9" t="str">
        <f>"10140830001"</f>
        <v>10140830001</v>
      </c>
      <c r="B8973" s="10">
        <v>36.14</v>
      </c>
      <c r="C8973" s="9"/>
      <c r="D8973" s="9">
        <f t="shared" si="140"/>
        <v>36.14</v>
      </c>
      <c r="E8973" s="11"/>
      <c r="F8973" s="9"/>
    </row>
    <row r="8974" s="1" customFormat="1" customHeight="1" spans="1:6">
      <c r="A8974" s="9" t="str">
        <f>"10530830002"</f>
        <v>10530830002</v>
      </c>
      <c r="B8974" s="10">
        <v>0</v>
      </c>
      <c r="C8974" s="9"/>
      <c r="D8974" s="9">
        <f t="shared" si="140"/>
        <v>0</v>
      </c>
      <c r="E8974" s="11"/>
      <c r="F8974" s="9" t="s">
        <v>7</v>
      </c>
    </row>
    <row r="8975" s="1" customFormat="1" customHeight="1" spans="1:6">
      <c r="A8975" s="9" t="str">
        <f>"10330830003"</f>
        <v>10330830003</v>
      </c>
      <c r="B8975" s="10">
        <v>36.79</v>
      </c>
      <c r="C8975" s="9"/>
      <c r="D8975" s="9">
        <f t="shared" si="140"/>
        <v>36.79</v>
      </c>
      <c r="E8975" s="11"/>
      <c r="F8975" s="9"/>
    </row>
    <row r="8976" s="1" customFormat="1" customHeight="1" spans="1:6">
      <c r="A8976" s="9" t="str">
        <f>"10530830004"</f>
        <v>10530830004</v>
      </c>
      <c r="B8976" s="10">
        <v>34.12</v>
      </c>
      <c r="C8976" s="9"/>
      <c r="D8976" s="9">
        <f t="shared" si="140"/>
        <v>34.12</v>
      </c>
      <c r="E8976" s="11"/>
      <c r="F8976" s="9"/>
    </row>
    <row r="8977" s="1" customFormat="1" customHeight="1" spans="1:6">
      <c r="A8977" s="9" t="str">
        <f>"20270830005"</f>
        <v>20270830005</v>
      </c>
      <c r="B8977" s="10">
        <v>42.79</v>
      </c>
      <c r="C8977" s="9"/>
      <c r="D8977" s="9">
        <f t="shared" si="140"/>
        <v>42.79</v>
      </c>
      <c r="E8977" s="11"/>
      <c r="F8977" s="9"/>
    </row>
    <row r="8978" s="1" customFormat="1" customHeight="1" spans="1:6">
      <c r="A8978" s="9" t="str">
        <f>"10350830006"</f>
        <v>10350830006</v>
      </c>
      <c r="B8978" s="10">
        <v>0</v>
      </c>
      <c r="C8978" s="9"/>
      <c r="D8978" s="9">
        <f t="shared" si="140"/>
        <v>0</v>
      </c>
      <c r="E8978" s="11"/>
      <c r="F8978" s="9" t="s">
        <v>7</v>
      </c>
    </row>
    <row r="8979" s="1" customFormat="1" customHeight="1" spans="1:6">
      <c r="A8979" s="9" t="str">
        <f>"10530830007"</f>
        <v>10530830007</v>
      </c>
      <c r="B8979" s="10">
        <v>0</v>
      </c>
      <c r="C8979" s="9"/>
      <c r="D8979" s="9">
        <f t="shared" si="140"/>
        <v>0</v>
      </c>
      <c r="E8979" s="11"/>
      <c r="F8979" s="9" t="s">
        <v>7</v>
      </c>
    </row>
    <row r="8980" s="1" customFormat="1" customHeight="1" spans="1:6">
      <c r="A8980" s="9" t="str">
        <f>"10280830008"</f>
        <v>10280830008</v>
      </c>
      <c r="B8980" s="10">
        <v>0</v>
      </c>
      <c r="C8980" s="9"/>
      <c r="D8980" s="9">
        <f t="shared" si="140"/>
        <v>0</v>
      </c>
      <c r="E8980" s="11"/>
      <c r="F8980" s="9" t="s">
        <v>7</v>
      </c>
    </row>
    <row r="8981" s="1" customFormat="1" customHeight="1" spans="1:6">
      <c r="A8981" s="9" t="str">
        <f>"10060830009"</f>
        <v>10060830009</v>
      </c>
      <c r="B8981" s="10">
        <v>0</v>
      </c>
      <c r="C8981" s="9"/>
      <c r="D8981" s="9">
        <f t="shared" si="140"/>
        <v>0</v>
      </c>
      <c r="E8981" s="11"/>
      <c r="F8981" s="9" t="s">
        <v>7</v>
      </c>
    </row>
    <row r="8982" s="1" customFormat="1" customHeight="1" spans="1:6">
      <c r="A8982" s="9" t="str">
        <f>"10500830010"</f>
        <v>10500830010</v>
      </c>
      <c r="B8982" s="10">
        <v>38.61</v>
      </c>
      <c r="C8982" s="9"/>
      <c r="D8982" s="9">
        <f t="shared" si="140"/>
        <v>38.61</v>
      </c>
      <c r="E8982" s="11"/>
      <c r="F8982" s="9"/>
    </row>
    <row r="8983" s="1" customFormat="1" customHeight="1" spans="1:6">
      <c r="A8983" s="9" t="str">
        <f>"10020830011"</f>
        <v>10020830011</v>
      </c>
      <c r="B8983" s="10">
        <v>34.78</v>
      </c>
      <c r="C8983" s="9"/>
      <c r="D8983" s="9">
        <f t="shared" si="140"/>
        <v>34.78</v>
      </c>
      <c r="E8983" s="11"/>
      <c r="F8983" s="9"/>
    </row>
    <row r="8984" s="1" customFormat="1" customHeight="1" spans="1:6">
      <c r="A8984" s="9" t="str">
        <f>"10280830012"</f>
        <v>10280830012</v>
      </c>
      <c r="B8984" s="10">
        <v>0</v>
      </c>
      <c r="C8984" s="9"/>
      <c r="D8984" s="9">
        <f t="shared" si="140"/>
        <v>0</v>
      </c>
      <c r="E8984" s="11"/>
      <c r="F8984" s="9" t="s">
        <v>7</v>
      </c>
    </row>
    <row r="8985" s="1" customFormat="1" customHeight="1" spans="1:6">
      <c r="A8985" s="9" t="str">
        <f>"10290830013"</f>
        <v>10290830013</v>
      </c>
      <c r="B8985" s="10">
        <v>0</v>
      </c>
      <c r="C8985" s="9"/>
      <c r="D8985" s="9">
        <f t="shared" si="140"/>
        <v>0</v>
      </c>
      <c r="E8985" s="11"/>
      <c r="F8985" s="9" t="s">
        <v>7</v>
      </c>
    </row>
    <row r="8986" s="1" customFormat="1" customHeight="1" spans="1:6">
      <c r="A8986" s="9" t="str">
        <f>"10380830014"</f>
        <v>10380830014</v>
      </c>
      <c r="B8986" s="10">
        <v>47.04</v>
      </c>
      <c r="C8986" s="9"/>
      <c r="D8986" s="9">
        <f t="shared" si="140"/>
        <v>47.04</v>
      </c>
      <c r="E8986" s="11"/>
      <c r="F8986" s="9"/>
    </row>
    <row r="8987" s="1" customFormat="1" customHeight="1" spans="1:6">
      <c r="A8987" s="9" t="str">
        <f>"10290830015"</f>
        <v>10290830015</v>
      </c>
      <c r="B8987" s="10">
        <v>40.26</v>
      </c>
      <c r="C8987" s="9"/>
      <c r="D8987" s="9">
        <f t="shared" si="140"/>
        <v>40.26</v>
      </c>
      <c r="E8987" s="11"/>
      <c r="F8987" s="9"/>
    </row>
    <row r="8988" s="1" customFormat="1" customHeight="1" spans="1:6">
      <c r="A8988" s="9" t="str">
        <f>"10370830016"</f>
        <v>10370830016</v>
      </c>
      <c r="B8988" s="10">
        <v>0</v>
      </c>
      <c r="C8988" s="9"/>
      <c r="D8988" s="9">
        <f t="shared" si="140"/>
        <v>0</v>
      </c>
      <c r="E8988" s="11"/>
      <c r="F8988" s="9" t="s">
        <v>7</v>
      </c>
    </row>
    <row r="8989" s="1" customFormat="1" customHeight="1" spans="1:6">
      <c r="A8989" s="9" t="str">
        <f>"10460830017"</f>
        <v>10460830017</v>
      </c>
      <c r="B8989" s="10">
        <v>0</v>
      </c>
      <c r="C8989" s="9"/>
      <c r="D8989" s="9">
        <f t="shared" si="140"/>
        <v>0</v>
      </c>
      <c r="E8989" s="11"/>
      <c r="F8989" s="9" t="s">
        <v>7</v>
      </c>
    </row>
    <row r="8990" s="1" customFormat="1" customHeight="1" spans="1:6">
      <c r="A8990" s="9" t="str">
        <f>"10360830018"</f>
        <v>10360830018</v>
      </c>
      <c r="B8990" s="10">
        <v>0</v>
      </c>
      <c r="C8990" s="9"/>
      <c r="D8990" s="9">
        <f t="shared" si="140"/>
        <v>0</v>
      </c>
      <c r="E8990" s="11"/>
      <c r="F8990" s="9" t="s">
        <v>7</v>
      </c>
    </row>
    <row r="8991" s="1" customFormat="1" customHeight="1" spans="1:6">
      <c r="A8991" s="9" t="str">
        <f>"10500830019"</f>
        <v>10500830019</v>
      </c>
      <c r="B8991" s="10">
        <v>0</v>
      </c>
      <c r="C8991" s="9"/>
      <c r="D8991" s="9">
        <f t="shared" si="140"/>
        <v>0</v>
      </c>
      <c r="E8991" s="11"/>
      <c r="F8991" s="9" t="s">
        <v>7</v>
      </c>
    </row>
    <row r="8992" s="1" customFormat="1" customHeight="1" spans="1:6">
      <c r="A8992" s="9" t="str">
        <f>"10010830020"</f>
        <v>10010830020</v>
      </c>
      <c r="B8992" s="10">
        <v>37.73</v>
      </c>
      <c r="C8992" s="9"/>
      <c r="D8992" s="9">
        <f t="shared" si="140"/>
        <v>37.73</v>
      </c>
      <c r="E8992" s="11"/>
      <c r="F8992" s="9"/>
    </row>
    <row r="8993" s="1" customFormat="1" customHeight="1" spans="1:6">
      <c r="A8993" s="9" t="str">
        <f>"10510830021"</f>
        <v>10510830021</v>
      </c>
      <c r="B8993" s="10">
        <v>0</v>
      </c>
      <c r="C8993" s="9"/>
      <c r="D8993" s="9">
        <f t="shared" si="140"/>
        <v>0</v>
      </c>
      <c r="E8993" s="11"/>
      <c r="F8993" s="9" t="s">
        <v>7</v>
      </c>
    </row>
    <row r="8994" s="1" customFormat="1" customHeight="1" spans="1:6">
      <c r="A8994" s="9" t="str">
        <f>"10130830022"</f>
        <v>10130830022</v>
      </c>
      <c r="B8994" s="10">
        <v>0</v>
      </c>
      <c r="C8994" s="9"/>
      <c r="D8994" s="9">
        <f t="shared" si="140"/>
        <v>0</v>
      </c>
      <c r="E8994" s="11"/>
      <c r="F8994" s="9" t="s">
        <v>7</v>
      </c>
    </row>
    <row r="8995" s="1" customFormat="1" customHeight="1" spans="1:6">
      <c r="A8995" s="9" t="str">
        <f>"10100830023"</f>
        <v>10100830023</v>
      </c>
      <c r="B8995" s="10">
        <v>38.26</v>
      </c>
      <c r="C8995" s="9"/>
      <c r="D8995" s="9">
        <f t="shared" si="140"/>
        <v>38.26</v>
      </c>
      <c r="E8995" s="11"/>
      <c r="F8995" s="9"/>
    </row>
    <row r="8996" s="1" customFormat="1" customHeight="1" spans="1:6">
      <c r="A8996" s="9" t="str">
        <f>"20030830101"</f>
        <v>20030830101</v>
      </c>
      <c r="B8996" s="10">
        <v>45.36</v>
      </c>
      <c r="C8996" s="9"/>
      <c r="D8996" s="9">
        <f t="shared" si="140"/>
        <v>45.36</v>
      </c>
      <c r="E8996" s="11"/>
      <c r="F8996" s="9"/>
    </row>
    <row r="8997" s="1" customFormat="1" customHeight="1" spans="1:6">
      <c r="A8997" s="9" t="str">
        <f>"20190830102"</f>
        <v>20190830102</v>
      </c>
      <c r="B8997" s="10">
        <v>42.35</v>
      </c>
      <c r="C8997" s="9"/>
      <c r="D8997" s="9">
        <f t="shared" si="140"/>
        <v>42.35</v>
      </c>
      <c r="E8997" s="11"/>
      <c r="F8997" s="9"/>
    </row>
    <row r="8998" s="1" customFormat="1" customHeight="1" spans="1:6">
      <c r="A8998" s="9" t="str">
        <f>"20190830103"</f>
        <v>20190830103</v>
      </c>
      <c r="B8998" s="10">
        <v>38.17</v>
      </c>
      <c r="C8998" s="9"/>
      <c r="D8998" s="9">
        <f t="shared" si="140"/>
        <v>38.17</v>
      </c>
      <c r="E8998" s="11"/>
      <c r="F8998" s="9"/>
    </row>
    <row r="8999" s="1" customFormat="1" customHeight="1" spans="1:6">
      <c r="A8999" s="9" t="str">
        <f>"20020830104"</f>
        <v>20020830104</v>
      </c>
      <c r="B8999" s="10">
        <v>0</v>
      </c>
      <c r="C8999" s="9"/>
      <c r="D8999" s="9">
        <f t="shared" si="140"/>
        <v>0</v>
      </c>
      <c r="E8999" s="11"/>
      <c r="F8999" s="9" t="s">
        <v>7</v>
      </c>
    </row>
    <row r="9000" s="1" customFormat="1" customHeight="1" spans="1:6">
      <c r="A9000" s="9" t="str">
        <f>"20020830105"</f>
        <v>20020830105</v>
      </c>
      <c r="B9000" s="10">
        <v>52.6</v>
      </c>
      <c r="C9000" s="9"/>
      <c r="D9000" s="9">
        <f t="shared" si="140"/>
        <v>52.6</v>
      </c>
      <c r="E9000" s="11"/>
      <c r="F9000" s="9"/>
    </row>
    <row r="9001" s="1" customFormat="1" customHeight="1" spans="1:6">
      <c r="A9001" s="9" t="str">
        <f>"20030830106"</f>
        <v>20030830106</v>
      </c>
      <c r="B9001" s="10">
        <v>45.3</v>
      </c>
      <c r="C9001" s="9"/>
      <c r="D9001" s="9">
        <f t="shared" si="140"/>
        <v>45.3</v>
      </c>
      <c r="E9001" s="11"/>
      <c r="F9001" s="9"/>
    </row>
    <row r="9002" s="1" customFormat="1" customHeight="1" spans="1:6">
      <c r="A9002" s="9" t="str">
        <f>"20190830107"</f>
        <v>20190830107</v>
      </c>
      <c r="B9002" s="10">
        <v>0</v>
      </c>
      <c r="C9002" s="9"/>
      <c r="D9002" s="9">
        <f t="shared" si="140"/>
        <v>0</v>
      </c>
      <c r="E9002" s="11"/>
      <c r="F9002" s="9" t="s">
        <v>7</v>
      </c>
    </row>
    <row r="9003" s="1" customFormat="1" customHeight="1" spans="1:6">
      <c r="A9003" s="9" t="str">
        <f>"20020830108"</f>
        <v>20020830108</v>
      </c>
      <c r="B9003" s="10">
        <v>42.7</v>
      </c>
      <c r="C9003" s="9"/>
      <c r="D9003" s="9">
        <f t="shared" si="140"/>
        <v>42.7</v>
      </c>
      <c r="E9003" s="11"/>
      <c r="F9003" s="9"/>
    </row>
    <row r="9004" s="1" customFormat="1" customHeight="1" spans="1:6">
      <c r="A9004" s="9" t="str">
        <f>"20140830109"</f>
        <v>20140830109</v>
      </c>
      <c r="B9004" s="10">
        <v>61.55</v>
      </c>
      <c r="C9004" s="9"/>
      <c r="D9004" s="9">
        <f t="shared" si="140"/>
        <v>61.55</v>
      </c>
      <c r="E9004" s="11"/>
      <c r="F9004" s="9"/>
    </row>
    <row r="9005" s="1" customFormat="1" customHeight="1" spans="1:6">
      <c r="A9005" s="9" t="str">
        <f>"20070830110"</f>
        <v>20070830110</v>
      </c>
      <c r="B9005" s="10">
        <v>55.13</v>
      </c>
      <c r="C9005" s="9"/>
      <c r="D9005" s="9">
        <f t="shared" si="140"/>
        <v>55.13</v>
      </c>
      <c r="E9005" s="11"/>
      <c r="F9005" s="9"/>
    </row>
    <row r="9006" s="1" customFormat="1" customHeight="1" spans="1:6">
      <c r="A9006" s="9" t="str">
        <f>"20190830111"</f>
        <v>20190830111</v>
      </c>
      <c r="B9006" s="10">
        <v>59.92</v>
      </c>
      <c r="C9006" s="9"/>
      <c r="D9006" s="9">
        <f t="shared" si="140"/>
        <v>59.92</v>
      </c>
      <c r="E9006" s="11"/>
      <c r="F9006" s="9"/>
    </row>
    <row r="9007" s="1" customFormat="1" customHeight="1" spans="1:6">
      <c r="A9007" s="9" t="str">
        <f>"20190830112"</f>
        <v>20190830112</v>
      </c>
      <c r="B9007" s="10">
        <v>0</v>
      </c>
      <c r="C9007" s="9"/>
      <c r="D9007" s="9">
        <f t="shared" si="140"/>
        <v>0</v>
      </c>
      <c r="E9007" s="11"/>
      <c r="F9007" s="9" t="s">
        <v>7</v>
      </c>
    </row>
    <row r="9008" s="1" customFormat="1" customHeight="1" spans="1:6">
      <c r="A9008" s="9" t="str">
        <f>"20070830113"</f>
        <v>20070830113</v>
      </c>
      <c r="B9008" s="10">
        <v>53.64</v>
      </c>
      <c r="C9008" s="9"/>
      <c r="D9008" s="9">
        <f t="shared" si="140"/>
        <v>53.64</v>
      </c>
      <c r="E9008" s="11"/>
      <c r="F9008" s="9"/>
    </row>
    <row r="9009" s="1" customFormat="1" customHeight="1" spans="1:6">
      <c r="A9009" s="9" t="str">
        <f>"20200830114"</f>
        <v>20200830114</v>
      </c>
      <c r="B9009" s="10">
        <v>0</v>
      </c>
      <c r="C9009" s="9"/>
      <c r="D9009" s="9">
        <f t="shared" si="140"/>
        <v>0</v>
      </c>
      <c r="E9009" s="11"/>
      <c r="F9009" s="9" t="s">
        <v>7</v>
      </c>
    </row>
    <row r="9010" s="1" customFormat="1" customHeight="1" spans="1:6">
      <c r="A9010" s="9" t="str">
        <f>"20190830115"</f>
        <v>20190830115</v>
      </c>
      <c r="B9010" s="10">
        <v>45.57</v>
      </c>
      <c r="C9010" s="9"/>
      <c r="D9010" s="9">
        <f t="shared" si="140"/>
        <v>45.57</v>
      </c>
      <c r="E9010" s="11"/>
      <c r="F9010" s="9"/>
    </row>
    <row r="9011" s="1" customFormat="1" customHeight="1" spans="1:6">
      <c r="A9011" s="9" t="str">
        <f>"20020830116"</f>
        <v>20020830116</v>
      </c>
      <c r="B9011" s="10">
        <v>0</v>
      </c>
      <c r="C9011" s="9"/>
      <c r="D9011" s="9">
        <f t="shared" si="140"/>
        <v>0</v>
      </c>
      <c r="E9011" s="11"/>
      <c r="F9011" s="9" t="s">
        <v>7</v>
      </c>
    </row>
    <row r="9012" s="1" customFormat="1" customHeight="1" spans="1:6">
      <c r="A9012" s="9" t="str">
        <f>"20190830117"</f>
        <v>20190830117</v>
      </c>
      <c r="B9012" s="10">
        <v>0</v>
      </c>
      <c r="C9012" s="9"/>
      <c r="D9012" s="9">
        <f t="shared" si="140"/>
        <v>0</v>
      </c>
      <c r="E9012" s="11"/>
      <c r="F9012" s="9" t="s">
        <v>7</v>
      </c>
    </row>
    <row r="9013" s="1" customFormat="1" customHeight="1" spans="1:6">
      <c r="A9013" s="9" t="str">
        <f>"20190830118"</f>
        <v>20190830118</v>
      </c>
      <c r="B9013" s="10">
        <v>52.69</v>
      </c>
      <c r="C9013" s="9"/>
      <c r="D9013" s="9">
        <f t="shared" si="140"/>
        <v>52.69</v>
      </c>
      <c r="E9013" s="11"/>
      <c r="F9013" s="9"/>
    </row>
    <row r="9014" s="1" customFormat="1" customHeight="1" spans="1:6">
      <c r="A9014" s="9" t="str">
        <f>"20190830119"</f>
        <v>20190830119</v>
      </c>
      <c r="B9014" s="10">
        <v>46.14</v>
      </c>
      <c r="C9014" s="9"/>
      <c r="D9014" s="9">
        <f t="shared" si="140"/>
        <v>46.14</v>
      </c>
      <c r="E9014" s="11"/>
      <c r="F9014" s="9"/>
    </row>
    <row r="9015" s="1" customFormat="1" customHeight="1" spans="1:6">
      <c r="A9015" s="9" t="str">
        <f>"20240830120"</f>
        <v>20240830120</v>
      </c>
      <c r="B9015" s="10">
        <v>53.34</v>
      </c>
      <c r="C9015" s="9"/>
      <c r="D9015" s="9">
        <f t="shared" si="140"/>
        <v>53.34</v>
      </c>
      <c r="E9015" s="11"/>
      <c r="F9015" s="9"/>
    </row>
    <row r="9016" s="1" customFormat="1" customHeight="1" spans="1:6">
      <c r="A9016" s="9" t="str">
        <f>"20130830121"</f>
        <v>20130830121</v>
      </c>
      <c r="B9016" s="10">
        <v>0</v>
      </c>
      <c r="C9016" s="9"/>
      <c r="D9016" s="9">
        <f t="shared" si="140"/>
        <v>0</v>
      </c>
      <c r="E9016" s="11"/>
      <c r="F9016" s="9" t="s">
        <v>7</v>
      </c>
    </row>
    <row r="9017" s="1" customFormat="1" customHeight="1" spans="1:6">
      <c r="A9017" s="9" t="str">
        <f>"20030830122"</f>
        <v>20030830122</v>
      </c>
      <c r="B9017" s="10">
        <v>0</v>
      </c>
      <c r="C9017" s="9"/>
      <c r="D9017" s="9">
        <f t="shared" si="140"/>
        <v>0</v>
      </c>
      <c r="E9017" s="11"/>
      <c r="F9017" s="9" t="s">
        <v>7</v>
      </c>
    </row>
    <row r="9018" s="1" customFormat="1" customHeight="1" spans="1:6">
      <c r="A9018" s="9" t="str">
        <f>"20020830123"</f>
        <v>20020830123</v>
      </c>
      <c r="B9018" s="10">
        <v>55.15</v>
      </c>
      <c r="C9018" s="9"/>
      <c r="D9018" s="9">
        <f t="shared" si="140"/>
        <v>55.15</v>
      </c>
      <c r="E9018" s="11"/>
      <c r="F9018" s="9"/>
    </row>
    <row r="9019" s="1" customFormat="1" customHeight="1" spans="1:6">
      <c r="A9019" s="9" t="str">
        <f>"20070830124"</f>
        <v>20070830124</v>
      </c>
      <c r="B9019" s="10">
        <v>49.45</v>
      </c>
      <c r="C9019" s="9"/>
      <c r="D9019" s="9">
        <f t="shared" si="140"/>
        <v>49.45</v>
      </c>
      <c r="E9019" s="11"/>
      <c r="F9019" s="9"/>
    </row>
    <row r="9020" s="1" customFormat="1" customHeight="1" spans="1:6">
      <c r="A9020" s="9" t="str">
        <f>"20250830125"</f>
        <v>20250830125</v>
      </c>
      <c r="B9020" s="10">
        <v>52.17</v>
      </c>
      <c r="C9020" s="9"/>
      <c r="D9020" s="9">
        <f t="shared" si="140"/>
        <v>52.17</v>
      </c>
      <c r="E9020" s="11"/>
      <c r="F9020" s="9"/>
    </row>
    <row r="9021" s="1" customFormat="1" customHeight="1" spans="1:6">
      <c r="A9021" s="9" t="str">
        <f>"20020830126"</f>
        <v>20020830126</v>
      </c>
      <c r="B9021" s="10">
        <v>50.14</v>
      </c>
      <c r="C9021" s="9"/>
      <c r="D9021" s="9">
        <f t="shared" si="140"/>
        <v>50.14</v>
      </c>
      <c r="E9021" s="11"/>
      <c r="F9021" s="9"/>
    </row>
    <row r="9022" s="1" customFormat="1" customHeight="1" spans="1:6">
      <c r="A9022" s="9" t="str">
        <f>"10250830127"</f>
        <v>10250830127</v>
      </c>
      <c r="B9022" s="10">
        <v>54.56</v>
      </c>
      <c r="C9022" s="9"/>
      <c r="D9022" s="9">
        <f t="shared" si="140"/>
        <v>54.56</v>
      </c>
      <c r="E9022" s="11"/>
      <c r="F9022" s="9"/>
    </row>
    <row r="9023" s="1" customFormat="1" customHeight="1" spans="1:6">
      <c r="A9023" s="9" t="str">
        <f>"20200830128"</f>
        <v>20200830128</v>
      </c>
      <c r="B9023" s="10">
        <v>59.97</v>
      </c>
      <c r="C9023" s="9"/>
      <c r="D9023" s="9">
        <f t="shared" si="140"/>
        <v>59.97</v>
      </c>
      <c r="E9023" s="11"/>
      <c r="F9023" s="9"/>
    </row>
    <row r="9024" s="1" customFormat="1" customHeight="1" spans="1:6">
      <c r="A9024" s="9" t="str">
        <f>"20020830129"</f>
        <v>20020830129</v>
      </c>
      <c r="B9024" s="10">
        <v>0</v>
      </c>
      <c r="C9024" s="9"/>
      <c r="D9024" s="9">
        <f t="shared" si="140"/>
        <v>0</v>
      </c>
      <c r="E9024" s="11"/>
      <c r="F9024" s="9" t="s">
        <v>7</v>
      </c>
    </row>
    <row r="9025" s="1" customFormat="1" customHeight="1" spans="1:6">
      <c r="A9025" s="9" t="str">
        <f>"20220830130"</f>
        <v>20220830130</v>
      </c>
      <c r="B9025" s="10">
        <v>39.15</v>
      </c>
      <c r="C9025" s="9"/>
      <c r="D9025" s="9">
        <f t="shared" si="140"/>
        <v>39.15</v>
      </c>
      <c r="E9025" s="11"/>
      <c r="F9025" s="9"/>
    </row>
    <row r="9026" s="1" customFormat="1" customHeight="1" spans="1:6">
      <c r="A9026" s="9" t="str">
        <f>"20130830201"</f>
        <v>20130830201</v>
      </c>
      <c r="B9026" s="10">
        <v>48.82</v>
      </c>
      <c r="C9026" s="9"/>
      <c r="D9026" s="9">
        <f t="shared" si="140"/>
        <v>48.82</v>
      </c>
      <c r="E9026" s="11"/>
      <c r="F9026" s="9"/>
    </row>
    <row r="9027" s="1" customFormat="1" customHeight="1" spans="1:6">
      <c r="A9027" s="9" t="str">
        <f>"20190830202"</f>
        <v>20190830202</v>
      </c>
      <c r="B9027" s="10">
        <v>32.71</v>
      </c>
      <c r="C9027" s="9"/>
      <c r="D9027" s="9">
        <f t="shared" ref="D9027:D9090" si="141">SUM(B9027:C9027)</f>
        <v>32.71</v>
      </c>
      <c r="E9027" s="11"/>
      <c r="F9027" s="9"/>
    </row>
    <row r="9028" s="1" customFormat="1" customHeight="1" spans="1:6">
      <c r="A9028" s="9" t="str">
        <f>"20190830203"</f>
        <v>20190830203</v>
      </c>
      <c r="B9028" s="10">
        <v>48.03</v>
      </c>
      <c r="C9028" s="9"/>
      <c r="D9028" s="9">
        <f t="shared" si="141"/>
        <v>48.03</v>
      </c>
      <c r="E9028" s="11"/>
      <c r="F9028" s="9"/>
    </row>
    <row r="9029" s="1" customFormat="1" customHeight="1" spans="1:6">
      <c r="A9029" s="9" t="str">
        <f>"20190830204"</f>
        <v>20190830204</v>
      </c>
      <c r="B9029" s="10">
        <v>0</v>
      </c>
      <c r="C9029" s="9"/>
      <c r="D9029" s="9">
        <f t="shared" si="141"/>
        <v>0</v>
      </c>
      <c r="E9029" s="11"/>
      <c r="F9029" s="9" t="s">
        <v>7</v>
      </c>
    </row>
    <row r="9030" s="1" customFormat="1" customHeight="1" spans="1:6">
      <c r="A9030" s="9" t="str">
        <f>"20020830205"</f>
        <v>20020830205</v>
      </c>
      <c r="B9030" s="10">
        <v>0</v>
      </c>
      <c r="C9030" s="9"/>
      <c r="D9030" s="9">
        <f t="shared" si="141"/>
        <v>0</v>
      </c>
      <c r="E9030" s="11"/>
      <c r="F9030" s="9" t="s">
        <v>7</v>
      </c>
    </row>
    <row r="9031" s="1" customFormat="1" customHeight="1" spans="1:6">
      <c r="A9031" s="9" t="str">
        <f>"20190830206"</f>
        <v>20190830206</v>
      </c>
      <c r="B9031" s="10">
        <v>60.69</v>
      </c>
      <c r="C9031" s="9"/>
      <c r="D9031" s="9">
        <f t="shared" si="141"/>
        <v>60.69</v>
      </c>
      <c r="E9031" s="11"/>
      <c r="F9031" s="9"/>
    </row>
    <row r="9032" s="1" customFormat="1" customHeight="1" spans="1:6">
      <c r="A9032" s="9" t="str">
        <f>"20070830207"</f>
        <v>20070830207</v>
      </c>
      <c r="B9032" s="10">
        <v>44.32</v>
      </c>
      <c r="C9032" s="9"/>
      <c r="D9032" s="9">
        <f t="shared" si="141"/>
        <v>44.32</v>
      </c>
      <c r="E9032" s="11"/>
      <c r="F9032" s="9"/>
    </row>
    <row r="9033" s="1" customFormat="1" customHeight="1" spans="1:6">
      <c r="A9033" s="9" t="str">
        <f>"20070830208"</f>
        <v>20070830208</v>
      </c>
      <c r="B9033" s="10">
        <v>50</v>
      </c>
      <c r="C9033" s="9"/>
      <c r="D9033" s="9">
        <f t="shared" si="141"/>
        <v>50</v>
      </c>
      <c r="E9033" s="11"/>
      <c r="F9033" s="9"/>
    </row>
    <row r="9034" s="1" customFormat="1" customHeight="1" spans="1:6">
      <c r="A9034" s="9" t="str">
        <f>"20190830209"</f>
        <v>20190830209</v>
      </c>
      <c r="B9034" s="10">
        <v>46.39</v>
      </c>
      <c r="C9034" s="9"/>
      <c r="D9034" s="9">
        <f t="shared" si="141"/>
        <v>46.39</v>
      </c>
      <c r="E9034" s="11"/>
      <c r="F9034" s="9"/>
    </row>
    <row r="9035" s="1" customFormat="1" customHeight="1" spans="1:6">
      <c r="A9035" s="9" t="str">
        <f>"10250830210"</f>
        <v>10250830210</v>
      </c>
      <c r="B9035" s="10">
        <v>0</v>
      </c>
      <c r="C9035" s="9"/>
      <c r="D9035" s="9">
        <f t="shared" si="141"/>
        <v>0</v>
      </c>
      <c r="E9035" s="11"/>
      <c r="F9035" s="9" t="s">
        <v>7</v>
      </c>
    </row>
    <row r="9036" s="1" customFormat="1" customHeight="1" spans="1:6">
      <c r="A9036" s="9" t="str">
        <f>"20190830211"</f>
        <v>20190830211</v>
      </c>
      <c r="B9036" s="10">
        <v>52.35</v>
      </c>
      <c r="C9036" s="9"/>
      <c r="D9036" s="9">
        <f t="shared" si="141"/>
        <v>52.35</v>
      </c>
      <c r="E9036" s="11"/>
      <c r="F9036" s="9"/>
    </row>
    <row r="9037" s="1" customFormat="1" customHeight="1" spans="1:6">
      <c r="A9037" s="9" t="str">
        <f>"20190830212"</f>
        <v>20190830212</v>
      </c>
      <c r="B9037" s="10">
        <v>44.99</v>
      </c>
      <c r="C9037" s="9"/>
      <c r="D9037" s="9">
        <f t="shared" si="141"/>
        <v>44.99</v>
      </c>
      <c r="E9037" s="11"/>
      <c r="F9037" s="9"/>
    </row>
    <row r="9038" s="1" customFormat="1" customHeight="1" spans="1:6">
      <c r="A9038" s="9" t="str">
        <f>"20030830213"</f>
        <v>20030830213</v>
      </c>
      <c r="B9038" s="10">
        <v>62.03</v>
      </c>
      <c r="C9038" s="9"/>
      <c r="D9038" s="9">
        <f t="shared" si="141"/>
        <v>62.03</v>
      </c>
      <c r="E9038" s="11"/>
      <c r="F9038" s="9"/>
    </row>
    <row r="9039" s="1" customFormat="1" customHeight="1" spans="1:6">
      <c r="A9039" s="9" t="str">
        <f>"20030830214"</f>
        <v>20030830214</v>
      </c>
      <c r="B9039" s="10">
        <v>44.28</v>
      </c>
      <c r="C9039" s="9"/>
      <c r="D9039" s="9">
        <f t="shared" si="141"/>
        <v>44.28</v>
      </c>
      <c r="E9039" s="11"/>
      <c r="F9039" s="9"/>
    </row>
    <row r="9040" s="1" customFormat="1" customHeight="1" spans="1:6">
      <c r="A9040" s="9" t="str">
        <f>"20230830215"</f>
        <v>20230830215</v>
      </c>
      <c r="B9040" s="10">
        <v>56.92</v>
      </c>
      <c r="C9040" s="9"/>
      <c r="D9040" s="9">
        <f t="shared" si="141"/>
        <v>56.92</v>
      </c>
      <c r="E9040" s="11"/>
      <c r="F9040" s="9"/>
    </row>
    <row r="9041" s="1" customFormat="1" customHeight="1" spans="1:6">
      <c r="A9041" s="9" t="str">
        <f>"20190830216"</f>
        <v>20190830216</v>
      </c>
      <c r="B9041" s="10">
        <v>50.39</v>
      </c>
      <c r="C9041" s="9"/>
      <c r="D9041" s="9">
        <f t="shared" si="141"/>
        <v>50.39</v>
      </c>
      <c r="E9041" s="11"/>
      <c r="F9041" s="9"/>
    </row>
    <row r="9042" s="1" customFormat="1" customHeight="1" spans="1:6">
      <c r="A9042" s="9" t="str">
        <f>"20020830217"</f>
        <v>20020830217</v>
      </c>
      <c r="B9042" s="10">
        <v>0</v>
      </c>
      <c r="C9042" s="9"/>
      <c r="D9042" s="9">
        <f t="shared" si="141"/>
        <v>0</v>
      </c>
      <c r="E9042" s="11"/>
      <c r="F9042" s="9" t="s">
        <v>7</v>
      </c>
    </row>
    <row r="9043" s="1" customFormat="1" customHeight="1" spans="1:6">
      <c r="A9043" s="9" t="str">
        <f>"20230830218"</f>
        <v>20230830218</v>
      </c>
      <c r="B9043" s="10">
        <v>47.43</v>
      </c>
      <c r="C9043" s="9"/>
      <c r="D9043" s="9">
        <f t="shared" si="141"/>
        <v>47.43</v>
      </c>
      <c r="E9043" s="11"/>
      <c r="F9043" s="9"/>
    </row>
    <row r="9044" s="1" customFormat="1" customHeight="1" spans="1:6">
      <c r="A9044" s="9" t="str">
        <f>"20220830219"</f>
        <v>20220830219</v>
      </c>
      <c r="B9044" s="10">
        <v>49.39</v>
      </c>
      <c r="C9044" s="9"/>
      <c r="D9044" s="9">
        <f t="shared" si="141"/>
        <v>49.39</v>
      </c>
      <c r="E9044" s="11"/>
      <c r="F9044" s="9"/>
    </row>
    <row r="9045" s="1" customFormat="1" customHeight="1" spans="1:6">
      <c r="A9045" s="9" t="str">
        <f>"20030830220"</f>
        <v>20030830220</v>
      </c>
      <c r="B9045" s="10">
        <v>0</v>
      </c>
      <c r="C9045" s="9"/>
      <c r="D9045" s="9">
        <f t="shared" si="141"/>
        <v>0</v>
      </c>
      <c r="E9045" s="11"/>
      <c r="F9045" s="9" t="s">
        <v>7</v>
      </c>
    </row>
    <row r="9046" s="1" customFormat="1" customHeight="1" spans="1:6">
      <c r="A9046" s="9" t="str">
        <f>"10250830221"</f>
        <v>10250830221</v>
      </c>
      <c r="B9046" s="10">
        <v>0</v>
      </c>
      <c r="C9046" s="9"/>
      <c r="D9046" s="9">
        <f t="shared" si="141"/>
        <v>0</v>
      </c>
      <c r="E9046" s="11"/>
      <c r="F9046" s="9" t="s">
        <v>7</v>
      </c>
    </row>
    <row r="9047" s="1" customFormat="1" customHeight="1" spans="1:6">
      <c r="A9047" s="9" t="str">
        <f>"20190830222"</f>
        <v>20190830222</v>
      </c>
      <c r="B9047" s="10">
        <v>68.37</v>
      </c>
      <c r="C9047" s="9"/>
      <c r="D9047" s="9">
        <f t="shared" si="141"/>
        <v>68.37</v>
      </c>
      <c r="E9047" s="11"/>
      <c r="F9047" s="9"/>
    </row>
    <row r="9048" s="1" customFormat="1" customHeight="1" spans="1:6">
      <c r="A9048" s="9" t="str">
        <f>"20190830223"</f>
        <v>20190830223</v>
      </c>
      <c r="B9048" s="10">
        <v>38.05</v>
      </c>
      <c r="C9048" s="9"/>
      <c r="D9048" s="9">
        <f t="shared" si="141"/>
        <v>38.05</v>
      </c>
      <c r="E9048" s="11"/>
      <c r="F9048" s="9"/>
    </row>
    <row r="9049" s="1" customFormat="1" customHeight="1" spans="1:6">
      <c r="A9049" s="9" t="str">
        <f>"20020830224"</f>
        <v>20020830224</v>
      </c>
      <c r="B9049" s="10">
        <v>41.32</v>
      </c>
      <c r="C9049" s="9"/>
      <c r="D9049" s="9">
        <f t="shared" si="141"/>
        <v>41.32</v>
      </c>
      <c r="E9049" s="11"/>
      <c r="F9049" s="9"/>
    </row>
    <row r="9050" s="1" customFormat="1" customHeight="1" spans="1:6">
      <c r="A9050" s="9" t="str">
        <f>"20190830225"</f>
        <v>20190830225</v>
      </c>
      <c r="B9050" s="10">
        <v>50.86</v>
      </c>
      <c r="C9050" s="9"/>
      <c r="D9050" s="9">
        <f t="shared" si="141"/>
        <v>50.86</v>
      </c>
      <c r="E9050" s="11"/>
      <c r="F9050" s="9"/>
    </row>
    <row r="9051" s="1" customFormat="1" customHeight="1" spans="1:6">
      <c r="A9051" s="9" t="str">
        <f>"20030830226"</f>
        <v>20030830226</v>
      </c>
      <c r="B9051" s="10">
        <v>0</v>
      </c>
      <c r="C9051" s="9"/>
      <c r="D9051" s="9">
        <f t="shared" si="141"/>
        <v>0</v>
      </c>
      <c r="E9051" s="11"/>
      <c r="F9051" s="9" t="s">
        <v>7</v>
      </c>
    </row>
    <row r="9052" s="1" customFormat="1" customHeight="1" spans="1:6">
      <c r="A9052" s="9" t="str">
        <f>"20190830227"</f>
        <v>20190830227</v>
      </c>
      <c r="B9052" s="10">
        <v>47.18</v>
      </c>
      <c r="C9052" s="9"/>
      <c r="D9052" s="9">
        <f t="shared" si="141"/>
        <v>47.18</v>
      </c>
      <c r="E9052" s="11"/>
      <c r="F9052" s="9"/>
    </row>
    <row r="9053" s="1" customFormat="1" customHeight="1" spans="1:6">
      <c r="A9053" s="9" t="str">
        <f>"20190830228"</f>
        <v>20190830228</v>
      </c>
      <c r="B9053" s="10">
        <v>0</v>
      </c>
      <c r="C9053" s="9"/>
      <c r="D9053" s="9">
        <f t="shared" si="141"/>
        <v>0</v>
      </c>
      <c r="E9053" s="11"/>
      <c r="F9053" s="9" t="s">
        <v>7</v>
      </c>
    </row>
    <row r="9054" s="1" customFormat="1" customHeight="1" spans="1:6">
      <c r="A9054" s="9" t="str">
        <f>"20190830229"</f>
        <v>20190830229</v>
      </c>
      <c r="B9054" s="10">
        <v>44.76</v>
      </c>
      <c r="C9054" s="9"/>
      <c r="D9054" s="9">
        <f t="shared" si="141"/>
        <v>44.76</v>
      </c>
      <c r="E9054" s="11"/>
      <c r="F9054" s="9"/>
    </row>
    <row r="9055" s="1" customFormat="1" customHeight="1" spans="1:6">
      <c r="A9055" s="9" t="str">
        <f>"20070830230"</f>
        <v>20070830230</v>
      </c>
      <c r="B9055" s="10">
        <v>0</v>
      </c>
      <c r="C9055" s="9"/>
      <c r="D9055" s="9">
        <f t="shared" si="141"/>
        <v>0</v>
      </c>
      <c r="E9055" s="11"/>
      <c r="F9055" s="9" t="s">
        <v>7</v>
      </c>
    </row>
    <row r="9056" s="1" customFormat="1" customHeight="1" spans="1:6">
      <c r="A9056" s="9" t="str">
        <f>"20200830301"</f>
        <v>20200830301</v>
      </c>
      <c r="B9056" s="10">
        <v>55.5</v>
      </c>
      <c r="C9056" s="9"/>
      <c r="D9056" s="9">
        <f t="shared" si="141"/>
        <v>55.5</v>
      </c>
      <c r="E9056" s="11"/>
      <c r="F9056" s="9"/>
    </row>
    <row r="9057" s="1" customFormat="1" customHeight="1" spans="1:6">
      <c r="A9057" s="9" t="str">
        <f>"20100830302"</f>
        <v>20100830302</v>
      </c>
      <c r="B9057" s="10">
        <v>46.97</v>
      </c>
      <c r="C9057" s="9"/>
      <c r="D9057" s="9">
        <f t="shared" si="141"/>
        <v>46.97</v>
      </c>
      <c r="E9057" s="11"/>
      <c r="F9057" s="9"/>
    </row>
    <row r="9058" s="1" customFormat="1" customHeight="1" spans="1:6">
      <c r="A9058" s="9" t="str">
        <f>"20020830303"</f>
        <v>20020830303</v>
      </c>
      <c r="B9058" s="10">
        <v>60.52</v>
      </c>
      <c r="C9058" s="9"/>
      <c r="D9058" s="9">
        <f t="shared" si="141"/>
        <v>60.52</v>
      </c>
      <c r="E9058" s="11"/>
      <c r="F9058" s="9"/>
    </row>
    <row r="9059" s="1" customFormat="1" customHeight="1" spans="1:6">
      <c r="A9059" s="9" t="str">
        <f>"20020830304"</f>
        <v>20020830304</v>
      </c>
      <c r="B9059" s="10">
        <v>46.22</v>
      </c>
      <c r="C9059" s="9"/>
      <c r="D9059" s="9">
        <f t="shared" si="141"/>
        <v>46.22</v>
      </c>
      <c r="E9059" s="11"/>
      <c r="F9059" s="9"/>
    </row>
    <row r="9060" s="1" customFormat="1" customHeight="1" spans="1:6">
      <c r="A9060" s="9" t="str">
        <f>"20190830305"</f>
        <v>20190830305</v>
      </c>
      <c r="B9060" s="10">
        <v>31.66</v>
      </c>
      <c r="C9060" s="9"/>
      <c r="D9060" s="9">
        <f t="shared" si="141"/>
        <v>31.66</v>
      </c>
      <c r="E9060" s="11"/>
      <c r="F9060" s="9"/>
    </row>
    <row r="9061" s="1" customFormat="1" customHeight="1" spans="1:6">
      <c r="A9061" s="9" t="str">
        <f>"20190830306"</f>
        <v>20190830306</v>
      </c>
      <c r="B9061" s="10">
        <v>0</v>
      </c>
      <c r="C9061" s="9"/>
      <c r="D9061" s="9">
        <f t="shared" si="141"/>
        <v>0</v>
      </c>
      <c r="E9061" s="11"/>
      <c r="F9061" s="9" t="s">
        <v>7</v>
      </c>
    </row>
    <row r="9062" s="1" customFormat="1" customHeight="1" spans="1:6">
      <c r="A9062" s="9" t="str">
        <f>"20190830307"</f>
        <v>20190830307</v>
      </c>
      <c r="B9062" s="10">
        <v>50.2</v>
      </c>
      <c r="C9062" s="9"/>
      <c r="D9062" s="9">
        <f t="shared" si="141"/>
        <v>50.2</v>
      </c>
      <c r="E9062" s="11"/>
      <c r="F9062" s="9"/>
    </row>
    <row r="9063" s="1" customFormat="1" customHeight="1" spans="1:6">
      <c r="A9063" s="9" t="str">
        <f>"20020830308"</f>
        <v>20020830308</v>
      </c>
      <c r="B9063" s="10">
        <v>49.78</v>
      </c>
      <c r="C9063" s="9"/>
      <c r="D9063" s="9">
        <f t="shared" si="141"/>
        <v>49.78</v>
      </c>
      <c r="E9063" s="11"/>
      <c r="F9063" s="9"/>
    </row>
    <row r="9064" s="1" customFormat="1" customHeight="1" spans="1:6">
      <c r="A9064" s="9" t="str">
        <f>"20190830309"</f>
        <v>20190830309</v>
      </c>
      <c r="B9064" s="10">
        <v>0</v>
      </c>
      <c r="C9064" s="9"/>
      <c r="D9064" s="9">
        <f t="shared" si="141"/>
        <v>0</v>
      </c>
      <c r="E9064" s="11"/>
      <c r="F9064" s="9" t="s">
        <v>7</v>
      </c>
    </row>
    <row r="9065" s="1" customFormat="1" customHeight="1" spans="1:6">
      <c r="A9065" s="9" t="str">
        <f>"20190830310"</f>
        <v>20190830310</v>
      </c>
      <c r="B9065" s="10">
        <v>40.11</v>
      </c>
      <c r="C9065" s="9"/>
      <c r="D9065" s="9">
        <f t="shared" si="141"/>
        <v>40.11</v>
      </c>
      <c r="E9065" s="11"/>
      <c r="F9065" s="9"/>
    </row>
    <row r="9066" s="1" customFormat="1" customHeight="1" spans="1:6">
      <c r="A9066" s="9" t="str">
        <f>"20240830311"</f>
        <v>20240830311</v>
      </c>
      <c r="B9066" s="10">
        <v>51.06</v>
      </c>
      <c r="C9066" s="9"/>
      <c r="D9066" s="9">
        <f t="shared" si="141"/>
        <v>51.06</v>
      </c>
      <c r="E9066" s="11"/>
      <c r="F9066" s="9"/>
    </row>
    <row r="9067" s="1" customFormat="1" customHeight="1" spans="1:6">
      <c r="A9067" s="9" t="str">
        <f>"20200830312"</f>
        <v>20200830312</v>
      </c>
      <c r="B9067" s="10">
        <v>45.74</v>
      </c>
      <c r="C9067" s="9"/>
      <c r="D9067" s="9">
        <f t="shared" si="141"/>
        <v>45.74</v>
      </c>
      <c r="E9067" s="11"/>
      <c r="F9067" s="9"/>
    </row>
    <row r="9068" s="1" customFormat="1" customHeight="1" spans="1:6">
      <c r="A9068" s="9" t="str">
        <f>"20200830313"</f>
        <v>20200830313</v>
      </c>
      <c r="B9068" s="10">
        <v>51.08</v>
      </c>
      <c r="C9068" s="9"/>
      <c r="D9068" s="9">
        <f t="shared" si="141"/>
        <v>51.08</v>
      </c>
      <c r="E9068" s="11"/>
      <c r="F9068" s="9"/>
    </row>
    <row r="9069" s="1" customFormat="1" customHeight="1" spans="1:6">
      <c r="A9069" s="9" t="str">
        <f>"20030830314"</f>
        <v>20030830314</v>
      </c>
      <c r="B9069" s="10">
        <v>0</v>
      </c>
      <c r="C9069" s="9"/>
      <c r="D9069" s="9">
        <f t="shared" si="141"/>
        <v>0</v>
      </c>
      <c r="E9069" s="11"/>
      <c r="F9069" s="9" t="s">
        <v>7</v>
      </c>
    </row>
    <row r="9070" s="1" customFormat="1" customHeight="1" spans="1:6">
      <c r="A9070" s="9" t="str">
        <f>"20070830315"</f>
        <v>20070830315</v>
      </c>
      <c r="B9070" s="10">
        <v>56.75</v>
      </c>
      <c r="C9070" s="9"/>
      <c r="D9070" s="9">
        <f t="shared" si="141"/>
        <v>56.75</v>
      </c>
      <c r="E9070" s="11"/>
      <c r="F9070" s="9"/>
    </row>
    <row r="9071" s="1" customFormat="1" customHeight="1" spans="1:6">
      <c r="A9071" s="9" t="str">
        <f>"20140830316"</f>
        <v>20140830316</v>
      </c>
      <c r="B9071" s="10">
        <v>0</v>
      </c>
      <c r="C9071" s="9"/>
      <c r="D9071" s="9">
        <f t="shared" si="141"/>
        <v>0</v>
      </c>
      <c r="E9071" s="11"/>
      <c r="F9071" s="9" t="s">
        <v>7</v>
      </c>
    </row>
    <row r="9072" s="1" customFormat="1" customHeight="1" spans="1:6">
      <c r="A9072" s="9" t="str">
        <f>"10250830317"</f>
        <v>10250830317</v>
      </c>
      <c r="B9072" s="10">
        <v>0</v>
      </c>
      <c r="C9072" s="9"/>
      <c r="D9072" s="9">
        <f t="shared" si="141"/>
        <v>0</v>
      </c>
      <c r="E9072" s="11"/>
      <c r="F9072" s="9" t="s">
        <v>7</v>
      </c>
    </row>
    <row r="9073" s="1" customFormat="1" customHeight="1" spans="1:6">
      <c r="A9073" s="9" t="str">
        <f>"20070830318"</f>
        <v>20070830318</v>
      </c>
      <c r="B9073" s="10">
        <v>37.88</v>
      </c>
      <c r="C9073" s="9"/>
      <c r="D9073" s="9">
        <f t="shared" si="141"/>
        <v>37.88</v>
      </c>
      <c r="E9073" s="11"/>
      <c r="F9073" s="9"/>
    </row>
    <row r="9074" s="1" customFormat="1" customHeight="1" spans="1:6">
      <c r="A9074" s="9" t="str">
        <f>"10250830319"</f>
        <v>10250830319</v>
      </c>
      <c r="B9074" s="10">
        <v>0</v>
      </c>
      <c r="C9074" s="9"/>
      <c r="D9074" s="9">
        <f t="shared" si="141"/>
        <v>0</v>
      </c>
      <c r="E9074" s="11"/>
      <c r="F9074" s="9" t="s">
        <v>7</v>
      </c>
    </row>
    <row r="9075" s="1" customFormat="1" customHeight="1" spans="1:6">
      <c r="A9075" s="9" t="str">
        <f>"20070830320"</f>
        <v>20070830320</v>
      </c>
      <c r="B9075" s="10">
        <v>38.15</v>
      </c>
      <c r="C9075" s="9"/>
      <c r="D9075" s="9">
        <f t="shared" si="141"/>
        <v>38.15</v>
      </c>
      <c r="E9075" s="11"/>
      <c r="F9075" s="9"/>
    </row>
    <row r="9076" s="1" customFormat="1" customHeight="1" spans="1:6">
      <c r="A9076" s="9" t="str">
        <f>"20190830321"</f>
        <v>20190830321</v>
      </c>
      <c r="B9076" s="10">
        <v>47.12</v>
      </c>
      <c r="C9076" s="9"/>
      <c r="D9076" s="9">
        <f t="shared" si="141"/>
        <v>47.12</v>
      </c>
      <c r="E9076" s="11"/>
      <c r="F9076" s="9"/>
    </row>
    <row r="9077" s="1" customFormat="1" customHeight="1" spans="1:6">
      <c r="A9077" s="9" t="str">
        <f>"20200830322"</f>
        <v>20200830322</v>
      </c>
      <c r="B9077" s="10">
        <v>55.52</v>
      </c>
      <c r="C9077" s="9"/>
      <c r="D9077" s="9">
        <f t="shared" si="141"/>
        <v>55.52</v>
      </c>
      <c r="E9077" s="11"/>
      <c r="F9077" s="9"/>
    </row>
    <row r="9078" s="1" customFormat="1" customHeight="1" spans="1:6">
      <c r="A9078" s="9" t="str">
        <f>"20030830323"</f>
        <v>20030830323</v>
      </c>
      <c r="B9078" s="10">
        <v>45.7</v>
      </c>
      <c r="C9078" s="9"/>
      <c r="D9078" s="9">
        <f t="shared" si="141"/>
        <v>45.7</v>
      </c>
      <c r="E9078" s="11"/>
      <c r="F9078" s="9"/>
    </row>
    <row r="9079" s="1" customFormat="1" customHeight="1" spans="1:6">
      <c r="A9079" s="9" t="str">
        <f>"20190830324"</f>
        <v>20190830324</v>
      </c>
      <c r="B9079" s="10">
        <v>40.34</v>
      </c>
      <c r="C9079" s="9"/>
      <c r="D9079" s="9">
        <f t="shared" si="141"/>
        <v>40.34</v>
      </c>
      <c r="E9079" s="11"/>
      <c r="F9079" s="9"/>
    </row>
    <row r="9080" s="1" customFormat="1" customHeight="1" spans="1:6">
      <c r="A9080" s="9" t="str">
        <f>"20020830325"</f>
        <v>20020830325</v>
      </c>
      <c r="B9080" s="10">
        <v>50.85</v>
      </c>
      <c r="C9080" s="9"/>
      <c r="D9080" s="9">
        <f t="shared" si="141"/>
        <v>50.85</v>
      </c>
      <c r="E9080" s="11"/>
      <c r="F9080" s="9"/>
    </row>
    <row r="9081" s="1" customFormat="1" customHeight="1" spans="1:6">
      <c r="A9081" s="9" t="str">
        <f>"20100830326"</f>
        <v>20100830326</v>
      </c>
      <c r="B9081" s="10">
        <v>57.9</v>
      </c>
      <c r="C9081" s="9"/>
      <c r="D9081" s="9">
        <f t="shared" si="141"/>
        <v>57.9</v>
      </c>
      <c r="E9081" s="11"/>
      <c r="F9081" s="9"/>
    </row>
    <row r="9082" s="1" customFormat="1" customHeight="1" spans="1:6">
      <c r="A9082" s="9" t="str">
        <f>"20200830327"</f>
        <v>20200830327</v>
      </c>
      <c r="B9082" s="10">
        <v>44.24</v>
      </c>
      <c r="C9082" s="9"/>
      <c r="D9082" s="9">
        <f t="shared" si="141"/>
        <v>44.24</v>
      </c>
      <c r="E9082" s="11"/>
      <c r="F9082" s="9"/>
    </row>
    <row r="9083" s="1" customFormat="1" customHeight="1" spans="1:6">
      <c r="A9083" s="9" t="str">
        <f>"20200830328"</f>
        <v>20200830328</v>
      </c>
      <c r="B9083" s="10">
        <v>37.59</v>
      </c>
      <c r="C9083" s="9"/>
      <c r="D9083" s="9">
        <f t="shared" si="141"/>
        <v>37.59</v>
      </c>
      <c r="E9083" s="11"/>
      <c r="F9083" s="9"/>
    </row>
    <row r="9084" s="1" customFormat="1" customHeight="1" spans="1:6">
      <c r="A9084" s="9" t="str">
        <f>"20130830329"</f>
        <v>20130830329</v>
      </c>
      <c r="B9084" s="10">
        <v>55.27</v>
      </c>
      <c r="C9084" s="9"/>
      <c r="D9084" s="9">
        <f t="shared" si="141"/>
        <v>55.27</v>
      </c>
      <c r="E9084" s="11"/>
      <c r="F9084" s="9"/>
    </row>
    <row r="9085" s="1" customFormat="1" customHeight="1" spans="1:6">
      <c r="A9085" s="9" t="str">
        <f>"20190830330"</f>
        <v>20190830330</v>
      </c>
      <c r="B9085" s="10">
        <v>50.62</v>
      </c>
      <c r="C9085" s="9"/>
      <c r="D9085" s="9">
        <f t="shared" si="141"/>
        <v>50.62</v>
      </c>
      <c r="E9085" s="11"/>
      <c r="F9085" s="9"/>
    </row>
    <row r="9086" s="1" customFormat="1" customHeight="1" spans="1:6">
      <c r="A9086" s="9" t="str">
        <f>"20020830401"</f>
        <v>20020830401</v>
      </c>
      <c r="B9086" s="10">
        <v>42.57</v>
      </c>
      <c r="C9086" s="9"/>
      <c r="D9086" s="9">
        <f t="shared" si="141"/>
        <v>42.57</v>
      </c>
      <c r="E9086" s="11"/>
      <c r="F9086" s="9"/>
    </row>
    <row r="9087" s="1" customFormat="1" customHeight="1" spans="1:6">
      <c r="A9087" s="9" t="str">
        <f>"20070830402"</f>
        <v>20070830402</v>
      </c>
      <c r="B9087" s="10">
        <v>0</v>
      </c>
      <c r="C9087" s="9"/>
      <c r="D9087" s="9">
        <f t="shared" si="141"/>
        <v>0</v>
      </c>
      <c r="E9087" s="11"/>
      <c r="F9087" s="9" t="s">
        <v>7</v>
      </c>
    </row>
    <row r="9088" s="1" customFormat="1" customHeight="1" spans="1:6">
      <c r="A9088" s="9" t="str">
        <f>"20020830403"</f>
        <v>20020830403</v>
      </c>
      <c r="B9088" s="10">
        <v>47.72</v>
      </c>
      <c r="C9088" s="9"/>
      <c r="D9088" s="9">
        <f t="shared" si="141"/>
        <v>47.72</v>
      </c>
      <c r="E9088" s="11"/>
      <c r="F9088" s="9"/>
    </row>
    <row r="9089" s="1" customFormat="1" customHeight="1" spans="1:6">
      <c r="A9089" s="9" t="str">
        <f>"20020830404"</f>
        <v>20020830404</v>
      </c>
      <c r="B9089" s="10">
        <v>67.66</v>
      </c>
      <c r="C9089" s="9"/>
      <c r="D9089" s="9">
        <f t="shared" si="141"/>
        <v>67.66</v>
      </c>
      <c r="E9089" s="11"/>
      <c r="F9089" s="9"/>
    </row>
    <row r="9090" s="1" customFormat="1" customHeight="1" spans="1:6">
      <c r="A9090" s="9" t="str">
        <f>"20030830405"</f>
        <v>20030830405</v>
      </c>
      <c r="B9090" s="10">
        <v>48.6</v>
      </c>
      <c r="C9090" s="9"/>
      <c r="D9090" s="9">
        <f t="shared" si="141"/>
        <v>48.6</v>
      </c>
      <c r="E9090" s="11"/>
      <c r="F9090" s="9"/>
    </row>
    <row r="9091" s="1" customFormat="1" customHeight="1" spans="1:6">
      <c r="A9091" s="9" t="str">
        <f>"20190830406"</f>
        <v>20190830406</v>
      </c>
      <c r="B9091" s="10">
        <v>0</v>
      </c>
      <c r="C9091" s="9"/>
      <c r="D9091" s="9">
        <f t="shared" ref="D9091:D9154" si="142">SUM(B9091:C9091)</f>
        <v>0</v>
      </c>
      <c r="E9091" s="11"/>
      <c r="F9091" s="9" t="s">
        <v>7</v>
      </c>
    </row>
    <row r="9092" s="1" customFormat="1" customHeight="1" spans="1:6">
      <c r="A9092" s="9" t="str">
        <f>"20020830407"</f>
        <v>20020830407</v>
      </c>
      <c r="B9092" s="10">
        <v>52.06</v>
      </c>
      <c r="C9092" s="9"/>
      <c r="D9092" s="9">
        <f t="shared" si="142"/>
        <v>52.06</v>
      </c>
      <c r="E9092" s="11"/>
      <c r="F9092" s="9"/>
    </row>
    <row r="9093" s="1" customFormat="1" customHeight="1" spans="1:6">
      <c r="A9093" s="9" t="str">
        <f>"20020830408"</f>
        <v>20020830408</v>
      </c>
      <c r="B9093" s="10">
        <v>59.42</v>
      </c>
      <c r="C9093" s="9"/>
      <c r="D9093" s="9">
        <f t="shared" si="142"/>
        <v>59.42</v>
      </c>
      <c r="E9093" s="11"/>
      <c r="F9093" s="9"/>
    </row>
    <row r="9094" s="1" customFormat="1" customHeight="1" spans="1:6">
      <c r="A9094" s="9" t="str">
        <f>"20200830409"</f>
        <v>20200830409</v>
      </c>
      <c r="B9094" s="10">
        <v>44.87</v>
      </c>
      <c r="C9094" s="9"/>
      <c r="D9094" s="9">
        <f t="shared" si="142"/>
        <v>44.87</v>
      </c>
      <c r="E9094" s="11"/>
      <c r="F9094" s="9"/>
    </row>
    <row r="9095" s="1" customFormat="1" customHeight="1" spans="1:6">
      <c r="A9095" s="9" t="str">
        <f>"10250830410"</f>
        <v>10250830410</v>
      </c>
      <c r="B9095" s="10">
        <v>0</v>
      </c>
      <c r="C9095" s="9"/>
      <c r="D9095" s="9">
        <f t="shared" si="142"/>
        <v>0</v>
      </c>
      <c r="E9095" s="11"/>
      <c r="F9095" s="9" t="s">
        <v>7</v>
      </c>
    </row>
    <row r="9096" s="1" customFormat="1" customHeight="1" spans="1:6">
      <c r="A9096" s="9" t="str">
        <f>"20020830411"</f>
        <v>20020830411</v>
      </c>
      <c r="B9096" s="10">
        <v>48.87</v>
      </c>
      <c r="C9096" s="9"/>
      <c r="D9096" s="9">
        <f t="shared" si="142"/>
        <v>48.87</v>
      </c>
      <c r="E9096" s="11"/>
      <c r="F9096" s="9"/>
    </row>
    <row r="9097" s="1" customFormat="1" customHeight="1" spans="1:6">
      <c r="A9097" s="9" t="str">
        <f>"20230830412"</f>
        <v>20230830412</v>
      </c>
      <c r="B9097" s="10">
        <v>57.9</v>
      </c>
      <c r="C9097" s="9"/>
      <c r="D9097" s="9">
        <f t="shared" si="142"/>
        <v>57.9</v>
      </c>
      <c r="E9097" s="11"/>
      <c r="F9097" s="9"/>
    </row>
    <row r="9098" s="1" customFormat="1" customHeight="1" spans="1:6">
      <c r="A9098" s="9" t="str">
        <f>"20190830413"</f>
        <v>20190830413</v>
      </c>
      <c r="B9098" s="10">
        <v>0</v>
      </c>
      <c r="C9098" s="9"/>
      <c r="D9098" s="9">
        <f t="shared" si="142"/>
        <v>0</v>
      </c>
      <c r="E9098" s="11"/>
      <c r="F9098" s="9" t="s">
        <v>7</v>
      </c>
    </row>
    <row r="9099" s="1" customFormat="1" customHeight="1" spans="1:6">
      <c r="A9099" s="9" t="str">
        <f>"20190830414"</f>
        <v>20190830414</v>
      </c>
      <c r="B9099" s="10">
        <v>41.74</v>
      </c>
      <c r="C9099" s="9"/>
      <c r="D9099" s="9">
        <f t="shared" si="142"/>
        <v>41.74</v>
      </c>
      <c r="E9099" s="11"/>
      <c r="F9099" s="9"/>
    </row>
    <row r="9100" s="1" customFormat="1" customHeight="1" spans="1:6">
      <c r="A9100" s="9" t="str">
        <f>"20240830415"</f>
        <v>20240830415</v>
      </c>
      <c r="B9100" s="10">
        <v>58.96</v>
      </c>
      <c r="C9100" s="9"/>
      <c r="D9100" s="9">
        <f t="shared" si="142"/>
        <v>58.96</v>
      </c>
      <c r="E9100" s="11"/>
      <c r="F9100" s="9"/>
    </row>
    <row r="9101" s="1" customFormat="1" customHeight="1" spans="1:6">
      <c r="A9101" s="9" t="str">
        <f>"20190830416"</f>
        <v>20190830416</v>
      </c>
      <c r="B9101" s="10">
        <v>0</v>
      </c>
      <c r="C9101" s="9"/>
      <c r="D9101" s="9">
        <f t="shared" si="142"/>
        <v>0</v>
      </c>
      <c r="E9101" s="11"/>
      <c r="F9101" s="9" t="s">
        <v>7</v>
      </c>
    </row>
    <row r="9102" s="1" customFormat="1" customHeight="1" spans="1:6">
      <c r="A9102" s="9" t="str">
        <f>"20230830417"</f>
        <v>20230830417</v>
      </c>
      <c r="B9102" s="10">
        <v>49.6</v>
      </c>
      <c r="C9102" s="9"/>
      <c r="D9102" s="9">
        <f t="shared" si="142"/>
        <v>49.6</v>
      </c>
      <c r="E9102" s="11"/>
      <c r="F9102" s="9"/>
    </row>
    <row r="9103" s="1" customFormat="1" customHeight="1" spans="1:6">
      <c r="A9103" s="9" t="str">
        <f>"20200830418"</f>
        <v>20200830418</v>
      </c>
      <c r="B9103" s="10">
        <v>36.74</v>
      </c>
      <c r="C9103" s="9"/>
      <c r="D9103" s="9">
        <f t="shared" si="142"/>
        <v>36.74</v>
      </c>
      <c r="E9103" s="11"/>
      <c r="F9103" s="9"/>
    </row>
    <row r="9104" s="1" customFormat="1" customHeight="1" spans="1:6">
      <c r="A9104" s="9" t="str">
        <f>"20190830419"</f>
        <v>20190830419</v>
      </c>
      <c r="B9104" s="10">
        <v>41.99</v>
      </c>
      <c r="C9104" s="9"/>
      <c r="D9104" s="9">
        <f t="shared" si="142"/>
        <v>41.99</v>
      </c>
      <c r="E9104" s="11"/>
      <c r="F9104" s="9"/>
    </row>
    <row r="9105" s="1" customFormat="1" customHeight="1" spans="1:6">
      <c r="A9105" s="9" t="str">
        <f>"20030830420"</f>
        <v>20030830420</v>
      </c>
      <c r="B9105" s="10">
        <v>51.56</v>
      </c>
      <c r="C9105" s="9"/>
      <c r="D9105" s="9">
        <f t="shared" si="142"/>
        <v>51.56</v>
      </c>
      <c r="E9105" s="11"/>
      <c r="F9105" s="9"/>
    </row>
    <row r="9106" s="1" customFormat="1" customHeight="1" spans="1:6">
      <c r="A9106" s="9" t="str">
        <f>"20190830421"</f>
        <v>20190830421</v>
      </c>
      <c r="B9106" s="10">
        <v>0</v>
      </c>
      <c r="C9106" s="9"/>
      <c r="D9106" s="9">
        <f t="shared" si="142"/>
        <v>0</v>
      </c>
      <c r="E9106" s="11"/>
      <c r="F9106" s="9" t="s">
        <v>7</v>
      </c>
    </row>
    <row r="9107" s="1" customFormat="1" customHeight="1" spans="1:6">
      <c r="A9107" s="9" t="str">
        <f>"10250830422"</f>
        <v>10250830422</v>
      </c>
      <c r="B9107" s="10">
        <v>51.66</v>
      </c>
      <c r="C9107" s="9"/>
      <c r="D9107" s="9">
        <f t="shared" si="142"/>
        <v>51.66</v>
      </c>
      <c r="E9107" s="11"/>
      <c r="F9107" s="9"/>
    </row>
    <row r="9108" s="1" customFormat="1" customHeight="1" spans="1:6">
      <c r="A9108" s="9" t="str">
        <f>"20190830423"</f>
        <v>20190830423</v>
      </c>
      <c r="B9108" s="10">
        <v>0</v>
      </c>
      <c r="C9108" s="9"/>
      <c r="D9108" s="9">
        <f t="shared" si="142"/>
        <v>0</v>
      </c>
      <c r="E9108" s="11"/>
      <c r="F9108" s="9" t="s">
        <v>7</v>
      </c>
    </row>
    <row r="9109" s="1" customFormat="1" customHeight="1" spans="1:6">
      <c r="A9109" s="9" t="str">
        <f>"20190830424"</f>
        <v>20190830424</v>
      </c>
      <c r="B9109" s="10">
        <v>0</v>
      </c>
      <c r="C9109" s="9"/>
      <c r="D9109" s="9">
        <f t="shared" si="142"/>
        <v>0</v>
      </c>
      <c r="E9109" s="11"/>
      <c r="F9109" s="9" t="s">
        <v>7</v>
      </c>
    </row>
    <row r="9110" s="1" customFormat="1" customHeight="1" spans="1:6">
      <c r="A9110" s="9" t="str">
        <f>"20190830425"</f>
        <v>20190830425</v>
      </c>
      <c r="B9110" s="10">
        <v>0</v>
      </c>
      <c r="C9110" s="9"/>
      <c r="D9110" s="9">
        <f t="shared" si="142"/>
        <v>0</v>
      </c>
      <c r="E9110" s="11"/>
      <c r="F9110" s="9" t="s">
        <v>7</v>
      </c>
    </row>
    <row r="9111" s="1" customFormat="1" customHeight="1" spans="1:6">
      <c r="A9111" s="9" t="str">
        <f>"20020830426"</f>
        <v>20020830426</v>
      </c>
      <c r="B9111" s="10">
        <v>60.15</v>
      </c>
      <c r="C9111" s="9"/>
      <c r="D9111" s="9">
        <f t="shared" si="142"/>
        <v>60.15</v>
      </c>
      <c r="E9111" s="11"/>
      <c r="F9111" s="9"/>
    </row>
    <row r="9112" s="1" customFormat="1" customHeight="1" spans="1:6">
      <c r="A9112" s="9" t="str">
        <f>"20250830427"</f>
        <v>20250830427</v>
      </c>
      <c r="B9112" s="10">
        <v>48.77</v>
      </c>
      <c r="C9112" s="9"/>
      <c r="D9112" s="9">
        <f t="shared" si="142"/>
        <v>48.77</v>
      </c>
      <c r="E9112" s="11"/>
      <c r="F9112" s="9"/>
    </row>
    <row r="9113" s="1" customFormat="1" customHeight="1" spans="1:6">
      <c r="A9113" s="9" t="str">
        <f>"20100830428"</f>
        <v>20100830428</v>
      </c>
      <c r="B9113" s="10">
        <v>47.83</v>
      </c>
      <c r="C9113" s="9"/>
      <c r="D9113" s="9">
        <f t="shared" si="142"/>
        <v>47.83</v>
      </c>
      <c r="E9113" s="11"/>
      <c r="F9113" s="9"/>
    </row>
    <row r="9114" s="1" customFormat="1" customHeight="1" spans="1:6">
      <c r="A9114" s="9" t="str">
        <f>"20190830429"</f>
        <v>20190830429</v>
      </c>
      <c r="B9114" s="10">
        <v>49.06</v>
      </c>
      <c r="C9114" s="9"/>
      <c r="D9114" s="9">
        <f t="shared" si="142"/>
        <v>49.06</v>
      </c>
      <c r="E9114" s="11"/>
      <c r="F9114" s="9"/>
    </row>
    <row r="9115" s="1" customFormat="1" customHeight="1" spans="1:6">
      <c r="A9115" s="9" t="str">
        <f>"20240830430"</f>
        <v>20240830430</v>
      </c>
      <c r="B9115" s="10">
        <v>58.69</v>
      </c>
      <c r="C9115" s="9"/>
      <c r="D9115" s="9">
        <f t="shared" si="142"/>
        <v>58.69</v>
      </c>
      <c r="E9115" s="11"/>
      <c r="F9115" s="9"/>
    </row>
    <row r="9116" s="1" customFormat="1" customHeight="1" spans="1:6">
      <c r="A9116" s="9" t="str">
        <f>"20250830501"</f>
        <v>20250830501</v>
      </c>
      <c r="B9116" s="10">
        <v>46.47</v>
      </c>
      <c r="C9116" s="9"/>
      <c r="D9116" s="9">
        <f t="shared" si="142"/>
        <v>46.47</v>
      </c>
      <c r="E9116" s="11"/>
      <c r="F9116" s="9"/>
    </row>
    <row r="9117" s="1" customFormat="1" customHeight="1" spans="1:6">
      <c r="A9117" s="9" t="str">
        <f>"20190830502"</f>
        <v>20190830502</v>
      </c>
      <c r="B9117" s="10">
        <v>0</v>
      </c>
      <c r="C9117" s="9"/>
      <c r="D9117" s="9">
        <f t="shared" si="142"/>
        <v>0</v>
      </c>
      <c r="E9117" s="11"/>
      <c r="F9117" s="9" t="s">
        <v>7</v>
      </c>
    </row>
    <row r="9118" s="1" customFormat="1" customHeight="1" spans="1:6">
      <c r="A9118" s="9" t="str">
        <f>"20190830503"</f>
        <v>20190830503</v>
      </c>
      <c r="B9118" s="10">
        <v>36</v>
      </c>
      <c r="C9118" s="9"/>
      <c r="D9118" s="9">
        <f t="shared" si="142"/>
        <v>36</v>
      </c>
      <c r="E9118" s="11"/>
      <c r="F9118" s="9"/>
    </row>
    <row r="9119" s="1" customFormat="1" customHeight="1" spans="1:6">
      <c r="A9119" s="9" t="str">
        <f>"20030830504"</f>
        <v>20030830504</v>
      </c>
      <c r="B9119" s="10">
        <v>56.96</v>
      </c>
      <c r="C9119" s="9"/>
      <c r="D9119" s="9">
        <f t="shared" si="142"/>
        <v>56.96</v>
      </c>
      <c r="E9119" s="11"/>
      <c r="F9119" s="9"/>
    </row>
    <row r="9120" s="1" customFormat="1" customHeight="1" spans="1:6">
      <c r="A9120" s="9" t="str">
        <f>"20020830505"</f>
        <v>20020830505</v>
      </c>
      <c r="B9120" s="10">
        <v>46.76</v>
      </c>
      <c r="C9120" s="9"/>
      <c r="D9120" s="9">
        <f t="shared" si="142"/>
        <v>46.76</v>
      </c>
      <c r="E9120" s="11"/>
      <c r="F9120" s="9"/>
    </row>
    <row r="9121" s="1" customFormat="1" customHeight="1" spans="1:6">
      <c r="A9121" s="9" t="str">
        <f>"20030830506"</f>
        <v>20030830506</v>
      </c>
      <c r="B9121" s="10">
        <v>56.31</v>
      </c>
      <c r="C9121" s="9"/>
      <c r="D9121" s="9">
        <f t="shared" si="142"/>
        <v>56.31</v>
      </c>
      <c r="E9121" s="11"/>
      <c r="F9121" s="9"/>
    </row>
    <row r="9122" s="1" customFormat="1" customHeight="1" spans="1:6">
      <c r="A9122" s="9" t="str">
        <f>"20070830507"</f>
        <v>20070830507</v>
      </c>
      <c r="B9122" s="10">
        <v>56.85</v>
      </c>
      <c r="C9122" s="9"/>
      <c r="D9122" s="9">
        <f t="shared" si="142"/>
        <v>56.85</v>
      </c>
      <c r="E9122" s="11"/>
      <c r="F9122" s="9"/>
    </row>
    <row r="9123" s="1" customFormat="1" customHeight="1" spans="1:6">
      <c r="A9123" s="9" t="str">
        <f>"20020830508"</f>
        <v>20020830508</v>
      </c>
      <c r="B9123" s="10">
        <v>44.13</v>
      </c>
      <c r="C9123" s="9"/>
      <c r="D9123" s="9">
        <f t="shared" si="142"/>
        <v>44.13</v>
      </c>
      <c r="E9123" s="11"/>
      <c r="F9123" s="9"/>
    </row>
    <row r="9124" s="1" customFormat="1" customHeight="1" spans="1:6">
      <c r="A9124" s="9" t="str">
        <f>"20190830509"</f>
        <v>20190830509</v>
      </c>
      <c r="B9124" s="10">
        <v>56.31</v>
      </c>
      <c r="C9124" s="9"/>
      <c r="D9124" s="9">
        <f t="shared" si="142"/>
        <v>56.31</v>
      </c>
      <c r="E9124" s="11"/>
      <c r="F9124" s="9"/>
    </row>
    <row r="9125" s="1" customFormat="1" customHeight="1" spans="1:6">
      <c r="A9125" s="9" t="str">
        <f>"20020830510"</f>
        <v>20020830510</v>
      </c>
      <c r="B9125" s="10">
        <v>38.38</v>
      </c>
      <c r="C9125" s="9"/>
      <c r="D9125" s="9">
        <f t="shared" si="142"/>
        <v>38.38</v>
      </c>
      <c r="E9125" s="11"/>
      <c r="F9125" s="9"/>
    </row>
    <row r="9126" s="1" customFormat="1" customHeight="1" spans="1:6">
      <c r="A9126" s="9" t="str">
        <f>"10250830511"</f>
        <v>10250830511</v>
      </c>
      <c r="B9126" s="10">
        <v>0</v>
      </c>
      <c r="C9126" s="9"/>
      <c r="D9126" s="9">
        <f t="shared" si="142"/>
        <v>0</v>
      </c>
      <c r="E9126" s="11"/>
      <c r="F9126" s="9" t="s">
        <v>7</v>
      </c>
    </row>
    <row r="9127" s="1" customFormat="1" customHeight="1" spans="1:6">
      <c r="A9127" s="9" t="str">
        <f>"20020830512"</f>
        <v>20020830512</v>
      </c>
      <c r="B9127" s="10">
        <v>49.43</v>
      </c>
      <c r="C9127" s="9"/>
      <c r="D9127" s="9">
        <f t="shared" si="142"/>
        <v>49.43</v>
      </c>
      <c r="E9127" s="11"/>
      <c r="F9127" s="9"/>
    </row>
    <row r="9128" s="1" customFormat="1" customHeight="1" spans="1:6">
      <c r="A9128" s="9" t="str">
        <f>"20070830513"</f>
        <v>20070830513</v>
      </c>
      <c r="B9128" s="10">
        <v>0</v>
      </c>
      <c r="C9128" s="9"/>
      <c r="D9128" s="9">
        <f t="shared" si="142"/>
        <v>0</v>
      </c>
      <c r="E9128" s="11"/>
      <c r="F9128" s="9" t="s">
        <v>7</v>
      </c>
    </row>
    <row r="9129" s="1" customFormat="1" customHeight="1" spans="1:6">
      <c r="A9129" s="9" t="str">
        <f>"20030830514"</f>
        <v>20030830514</v>
      </c>
      <c r="B9129" s="10">
        <v>57.25</v>
      </c>
      <c r="C9129" s="9"/>
      <c r="D9129" s="9">
        <f t="shared" si="142"/>
        <v>57.25</v>
      </c>
      <c r="E9129" s="11"/>
      <c r="F9129" s="9"/>
    </row>
    <row r="9130" s="1" customFormat="1" customHeight="1" spans="1:6">
      <c r="A9130" s="9" t="str">
        <f>"20190830515"</f>
        <v>20190830515</v>
      </c>
      <c r="B9130" s="10">
        <v>0</v>
      </c>
      <c r="C9130" s="9"/>
      <c r="D9130" s="9">
        <f t="shared" si="142"/>
        <v>0</v>
      </c>
      <c r="E9130" s="11"/>
      <c r="F9130" s="9" t="s">
        <v>7</v>
      </c>
    </row>
    <row r="9131" s="1" customFormat="1" customHeight="1" spans="1:6">
      <c r="A9131" s="9" t="str">
        <f>"20200830516"</f>
        <v>20200830516</v>
      </c>
      <c r="B9131" s="10">
        <v>0</v>
      </c>
      <c r="C9131" s="9"/>
      <c r="D9131" s="9">
        <f t="shared" si="142"/>
        <v>0</v>
      </c>
      <c r="E9131" s="11"/>
      <c r="F9131" s="9" t="s">
        <v>7</v>
      </c>
    </row>
    <row r="9132" s="1" customFormat="1" customHeight="1" spans="1:6">
      <c r="A9132" s="9" t="str">
        <f>"10250830517"</f>
        <v>10250830517</v>
      </c>
      <c r="B9132" s="10">
        <v>49.92</v>
      </c>
      <c r="C9132" s="9"/>
      <c r="D9132" s="9">
        <f t="shared" si="142"/>
        <v>49.92</v>
      </c>
      <c r="E9132" s="11"/>
      <c r="F9132" s="9"/>
    </row>
    <row r="9133" s="1" customFormat="1" customHeight="1" spans="1:6">
      <c r="A9133" s="9" t="str">
        <f>"20250830518"</f>
        <v>20250830518</v>
      </c>
      <c r="B9133" s="10">
        <v>46.47</v>
      </c>
      <c r="C9133" s="9"/>
      <c r="D9133" s="9">
        <f t="shared" si="142"/>
        <v>46.47</v>
      </c>
      <c r="E9133" s="11"/>
      <c r="F9133" s="9"/>
    </row>
    <row r="9134" s="1" customFormat="1" customHeight="1" spans="1:6">
      <c r="A9134" s="9" t="str">
        <f>"10250830519"</f>
        <v>10250830519</v>
      </c>
      <c r="B9134" s="10">
        <v>0</v>
      </c>
      <c r="C9134" s="9"/>
      <c r="D9134" s="9">
        <f t="shared" si="142"/>
        <v>0</v>
      </c>
      <c r="E9134" s="11"/>
      <c r="F9134" s="9" t="s">
        <v>7</v>
      </c>
    </row>
    <row r="9135" s="1" customFormat="1" customHeight="1" spans="1:6">
      <c r="A9135" s="9" t="str">
        <f>"20240830520"</f>
        <v>20240830520</v>
      </c>
      <c r="B9135" s="10">
        <v>0</v>
      </c>
      <c r="C9135" s="9"/>
      <c r="D9135" s="9">
        <f t="shared" si="142"/>
        <v>0</v>
      </c>
      <c r="E9135" s="11"/>
      <c r="F9135" s="9" t="s">
        <v>7</v>
      </c>
    </row>
    <row r="9136" s="1" customFormat="1" customHeight="1" spans="1:6">
      <c r="A9136" s="9" t="str">
        <f>"20200830521"</f>
        <v>20200830521</v>
      </c>
      <c r="B9136" s="10">
        <v>40.34</v>
      </c>
      <c r="C9136" s="9">
        <v>10</v>
      </c>
      <c r="D9136" s="9">
        <f t="shared" si="142"/>
        <v>50.34</v>
      </c>
      <c r="E9136" s="12" t="s">
        <v>8</v>
      </c>
      <c r="F9136" s="9"/>
    </row>
    <row r="9137" s="1" customFormat="1" customHeight="1" spans="1:6">
      <c r="A9137" s="9" t="str">
        <f>"20070830522"</f>
        <v>20070830522</v>
      </c>
      <c r="B9137" s="10">
        <v>0</v>
      </c>
      <c r="C9137" s="9"/>
      <c r="D9137" s="9">
        <f t="shared" si="142"/>
        <v>0</v>
      </c>
      <c r="E9137" s="11"/>
      <c r="F9137" s="9" t="s">
        <v>7</v>
      </c>
    </row>
    <row r="9138" s="1" customFormat="1" customHeight="1" spans="1:6">
      <c r="A9138" s="9" t="str">
        <f>"20020830523"</f>
        <v>20020830523</v>
      </c>
      <c r="B9138" s="10">
        <v>55.04</v>
      </c>
      <c r="C9138" s="9"/>
      <c r="D9138" s="9">
        <f t="shared" si="142"/>
        <v>55.04</v>
      </c>
      <c r="E9138" s="11"/>
      <c r="F9138" s="9"/>
    </row>
    <row r="9139" s="1" customFormat="1" customHeight="1" spans="1:6">
      <c r="A9139" s="9" t="str">
        <f>"20210830524"</f>
        <v>20210830524</v>
      </c>
      <c r="B9139" s="10">
        <v>59.28</v>
      </c>
      <c r="C9139" s="9"/>
      <c r="D9139" s="9">
        <f t="shared" si="142"/>
        <v>59.28</v>
      </c>
      <c r="E9139" s="11"/>
      <c r="F9139" s="9"/>
    </row>
    <row r="9140" s="1" customFormat="1" customHeight="1" spans="1:6">
      <c r="A9140" s="9" t="str">
        <f>"20020830525"</f>
        <v>20020830525</v>
      </c>
      <c r="B9140" s="10">
        <v>45.71</v>
      </c>
      <c r="C9140" s="9"/>
      <c r="D9140" s="9">
        <f t="shared" si="142"/>
        <v>45.71</v>
      </c>
      <c r="E9140" s="11"/>
      <c r="F9140" s="9"/>
    </row>
    <row r="9141" s="1" customFormat="1" customHeight="1" spans="1:6">
      <c r="A9141" s="9" t="str">
        <f>"20020830526"</f>
        <v>20020830526</v>
      </c>
      <c r="B9141" s="10">
        <v>59.9</v>
      </c>
      <c r="C9141" s="9"/>
      <c r="D9141" s="9">
        <f t="shared" si="142"/>
        <v>59.9</v>
      </c>
      <c r="E9141" s="11"/>
      <c r="F9141" s="9"/>
    </row>
    <row r="9142" s="1" customFormat="1" customHeight="1" spans="1:6">
      <c r="A9142" s="9" t="str">
        <f>"20190830527"</f>
        <v>20190830527</v>
      </c>
      <c r="B9142" s="10">
        <v>48.89</v>
      </c>
      <c r="C9142" s="9"/>
      <c r="D9142" s="9">
        <f t="shared" si="142"/>
        <v>48.89</v>
      </c>
      <c r="E9142" s="11"/>
      <c r="F9142" s="9"/>
    </row>
    <row r="9143" s="1" customFormat="1" customHeight="1" spans="1:6">
      <c r="A9143" s="9" t="str">
        <f>"20020830528"</f>
        <v>20020830528</v>
      </c>
      <c r="B9143" s="10">
        <v>50.43</v>
      </c>
      <c r="C9143" s="9"/>
      <c r="D9143" s="9">
        <f t="shared" si="142"/>
        <v>50.43</v>
      </c>
      <c r="E9143" s="11"/>
      <c r="F9143" s="9"/>
    </row>
    <row r="9144" s="1" customFormat="1" customHeight="1" spans="1:6">
      <c r="A9144" s="9" t="str">
        <f>"20220830529"</f>
        <v>20220830529</v>
      </c>
      <c r="B9144" s="10">
        <v>48.43</v>
      </c>
      <c r="C9144" s="9"/>
      <c r="D9144" s="9">
        <f t="shared" si="142"/>
        <v>48.43</v>
      </c>
      <c r="E9144" s="11"/>
      <c r="F9144" s="9"/>
    </row>
    <row r="9145" s="1" customFormat="1" customHeight="1" spans="1:6">
      <c r="A9145" s="9" t="str">
        <f>"20200830530"</f>
        <v>20200830530</v>
      </c>
      <c r="B9145" s="10">
        <v>49.33</v>
      </c>
      <c r="C9145" s="9"/>
      <c r="D9145" s="9">
        <f t="shared" si="142"/>
        <v>49.33</v>
      </c>
      <c r="E9145" s="11"/>
      <c r="F9145" s="9"/>
    </row>
    <row r="9146" s="1" customFormat="1" customHeight="1" spans="1:6">
      <c r="A9146" s="9" t="str">
        <f>"20190830601"</f>
        <v>20190830601</v>
      </c>
      <c r="B9146" s="10">
        <v>43.82</v>
      </c>
      <c r="C9146" s="9"/>
      <c r="D9146" s="9">
        <f t="shared" si="142"/>
        <v>43.82</v>
      </c>
      <c r="E9146" s="11"/>
      <c r="F9146" s="9"/>
    </row>
    <row r="9147" s="1" customFormat="1" customHeight="1" spans="1:6">
      <c r="A9147" s="9" t="str">
        <f>"20020830602"</f>
        <v>20020830602</v>
      </c>
      <c r="B9147" s="10">
        <v>0</v>
      </c>
      <c r="C9147" s="9"/>
      <c r="D9147" s="9">
        <f t="shared" si="142"/>
        <v>0</v>
      </c>
      <c r="E9147" s="11"/>
      <c r="F9147" s="9" t="s">
        <v>7</v>
      </c>
    </row>
    <row r="9148" s="1" customFormat="1" customHeight="1" spans="1:6">
      <c r="A9148" s="9" t="str">
        <f>"20190830603"</f>
        <v>20190830603</v>
      </c>
      <c r="B9148" s="10">
        <v>43.44</v>
      </c>
      <c r="C9148" s="9"/>
      <c r="D9148" s="9">
        <f t="shared" si="142"/>
        <v>43.44</v>
      </c>
      <c r="E9148" s="11"/>
      <c r="F9148" s="9"/>
    </row>
    <row r="9149" s="1" customFormat="1" customHeight="1" spans="1:6">
      <c r="A9149" s="9" t="str">
        <f>"20190830604"</f>
        <v>20190830604</v>
      </c>
      <c r="B9149" s="10">
        <v>54.96</v>
      </c>
      <c r="C9149" s="9"/>
      <c r="D9149" s="9">
        <f t="shared" si="142"/>
        <v>54.96</v>
      </c>
      <c r="E9149" s="11"/>
      <c r="F9149" s="9"/>
    </row>
    <row r="9150" s="1" customFormat="1" customHeight="1" spans="1:6">
      <c r="A9150" s="9" t="str">
        <f>"20130830605"</f>
        <v>20130830605</v>
      </c>
      <c r="B9150" s="10">
        <v>53.27</v>
      </c>
      <c r="C9150" s="9"/>
      <c r="D9150" s="9">
        <f t="shared" si="142"/>
        <v>53.27</v>
      </c>
      <c r="E9150" s="11"/>
      <c r="F9150" s="9"/>
    </row>
    <row r="9151" s="1" customFormat="1" customHeight="1" spans="1:6">
      <c r="A9151" s="9" t="str">
        <f>"20220830606"</f>
        <v>20220830606</v>
      </c>
      <c r="B9151" s="10">
        <v>36.04</v>
      </c>
      <c r="C9151" s="9"/>
      <c r="D9151" s="9">
        <f t="shared" si="142"/>
        <v>36.04</v>
      </c>
      <c r="E9151" s="11"/>
      <c r="F9151" s="9"/>
    </row>
    <row r="9152" s="1" customFormat="1" customHeight="1" spans="1:6">
      <c r="A9152" s="9" t="str">
        <f>"20030830607"</f>
        <v>20030830607</v>
      </c>
      <c r="B9152" s="10">
        <v>56.25</v>
      </c>
      <c r="C9152" s="9"/>
      <c r="D9152" s="9">
        <f t="shared" si="142"/>
        <v>56.25</v>
      </c>
      <c r="E9152" s="11"/>
      <c r="F9152" s="9"/>
    </row>
    <row r="9153" s="1" customFormat="1" customHeight="1" spans="1:6">
      <c r="A9153" s="9" t="str">
        <f>"20190830608"</f>
        <v>20190830608</v>
      </c>
      <c r="B9153" s="10">
        <v>47.14</v>
      </c>
      <c r="C9153" s="9"/>
      <c r="D9153" s="9">
        <f t="shared" si="142"/>
        <v>47.14</v>
      </c>
      <c r="E9153" s="11"/>
      <c r="F9153" s="9"/>
    </row>
    <row r="9154" s="1" customFormat="1" customHeight="1" spans="1:6">
      <c r="A9154" s="9" t="str">
        <f>"20070830609"</f>
        <v>20070830609</v>
      </c>
      <c r="B9154" s="10">
        <v>40.99</v>
      </c>
      <c r="C9154" s="9"/>
      <c r="D9154" s="9">
        <f t="shared" si="142"/>
        <v>40.99</v>
      </c>
      <c r="E9154" s="11"/>
      <c r="F9154" s="9"/>
    </row>
    <row r="9155" s="1" customFormat="1" customHeight="1" spans="1:6">
      <c r="A9155" s="9" t="str">
        <f>"20190830610"</f>
        <v>20190830610</v>
      </c>
      <c r="B9155" s="10">
        <v>48.55</v>
      </c>
      <c r="C9155" s="9"/>
      <c r="D9155" s="9">
        <f t="shared" ref="D9155:D9218" si="143">SUM(B9155:C9155)</f>
        <v>48.55</v>
      </c>
      <c r="E9155" s="11"/>
      <c r="F9155" s="9"/>
    </row>
    <row r="9156" s="1" customFormat="1" customHeight="1" spans="1:6">
      <c r="A9156" s="9" t="str">
        <f>"20030830611"</f>
        <v>20030830611</v>
      </c>
      <c r="B9156" s="10">
        <v>0</v>
      </c>
      <c r="C9156" s="9"/>
      <c r="D9156" s="9">
        <f t="shared" si="143"/>
        <v>0</v>
      </c>
      <c r="E9156" s="11"/>
      <c r="F9156" s="9" t="s">
        <v>7</v>
      </c>
    </row>
    <row r="9157" s="1" customFormat="1" customHeight="1" spans="1:6">
      <c r="A9157" s="9" t="str">
        <f>"20120830612"</f>
        <v>20120830612</v>
      </c>
      <c r="B9157" s="10">
        <v>47.22</v>
      </c>
      <c r="C9157" s="9"/>
      <c r="D9157" s="9">
        <f t="shared" si="143"/>
        <v>47.22</v>
      </c>
      <c r="E9157" s="11"/>
      <c r="F9157" s="9"/>
    </row>
    <row r="9158" s="1" customFormat="1" customHeight="1" spans="1:6">
      <c r="A9158" s="9" t="str">
        <f>"20100830613"</f>
        <v>20100830613</v>
      </c>
      <c r="B9158" s="10">
        <v>57.73</v>
      </c>
      <c r="C9158" s="9"/>
      <c r="D9158" s="9">
        <f t="shared" si="143"/>
        <v>57.73</v>
      </c>
      <c r="E9158" s="11"/>
      <c r="F9158" s="9"/>
    </row>
    <row r="9159" s="1" customFormat="1" customHeight="1" spans="1:6">
      <c r="A9159" s="9" t="str">
        <f>"20020830614"</f>
        <v>20020830614</v>
      </c>
      <c r="B9159" s="10">
        <v>60.8</v>
      </c>
      <c r="C9159" s="9"/>
      <c r="D9159" s="9">
        <f t="shared" si="143"/>
        <v>60.8</v>
      </c>
      <c r="E9159" s="11"/>
      <c r="F9159" s="9"/>
    </row>
    <row r="9160" s="1" customFormat="1" customHeight="1" spans="1:6">
      <c r="A9160" s="9" t="str">
        <f>"20190830615"</f>
        <v>20190830615</v>
      </c>
      <c r="B9160" s="10">
        <v>41.78</v>
      </c>
      <c r="C9160" s="9"/>
      <c r="D9160" s="9">
        <f t="shared" si="143"/>
        <v>41.78</v>
      </c>
      <c r="E9160" s="11"/>
      <c r="F9160" s="9"/>
    </row>
    <row r="9161" s="1" customFormat="1" customHeight="1" spans="1:6">
      <c r="A9161" s="9" t="str">
        <f>"20190830616"</f>
        <v>20190830616</v>
      </c>
      <c r="B9161" s="10">
        <v>50.08</v>
      </c>
      <c r="C9161" s="9"/>
      <c r="D9161" s="9">
        <f t="shared" si="143"/>
        <v>50.08</v>
      </c>
      <c r="E9161" s="11"/>
      <c r="F9161" s="9"/>
    </row>
    <row r="9162" s="1" customFormat="1" customHeight="1" spans="1:6">
      <c r="A9162" s="9" t="str">
        <f>"20020830617"</f>
        <v>20020830617</v>
      </c>
      <c r="B9162" s="10">
        <v>0</v>
      </c>
      <c r="C9162" s="9"/>
      <c r="D9162" s="9">
        <f t="shared" si="143"/>
        <v>0</v>
      </c>
      <c r="E9162" s="11"/>
      <c r="F9162" s="9" t="s">
        <v>7</v>
      </c>
    </row>
    <row r="9163" s="1" customFormat="1" customHeight="1" spans="1:6">
      <c r="A9163" s="9" t="str">
        <f>"20030830618"</f>
        <v>20030830618</v>
      </c>
      <c r="B9163" s="10">
        <v>56.75</v>
      </c>
      <c r="C9163" s="9"/>
      <c r="D9163" s="9">
        <f t="shared" si="143"/>
        <v>56.75</v>
      </c>
      <c r="E9163" s="11"/>
      <c r="F9163" s="9"/>
    </row>
    <row r="9164" s="1" customFormat="1" customHeight="1" spans="1:6">
      <c r="A9164" s="9" t="str">
        <f>"20230830619"</f>
        <v>20230830619</v>
      </c>
      <c r="B9164" s="10">
        <v>53.96</v>
      </c>
      <c r="C9164" s="9"/>
      <c r="D9164" s="9">
        <f t="shared" si="143"/>
        <v>53.96</v>
      </c>
      <c r="E9164" s="11"/>
      <c r="F9164" s="9"/>
    </row>
    <row r="9165" s="1" customFormat="1" customHeight="1" spans="1:6">
      <c r="A9165" s="9" t="str">
        <f>"20200830620"</f>
        <v>20200830620</v>
      </c>
      <c r="B9165" s="10">
        <v>55.04</v>
      </c>
      <c r="C9165" s="9"/>
      <c r="D9165" s="9">
        <f t="shared" si="143"/>
        <v>55.04</v>
      </c>
      <c r="E9165" s="11"/>
      <c r="F9165" s="9"/>
    </row>
    <row r="9166" s="1" customFormat="1" customHeight="1" spans="1:6">
      <c r="A9166" s="9" t="str">
        <f>"20220830621"</f>
        <v>20220830621</v>
      </c>
      <c r="B9166" s="10">
        <v>0</v>
      </c>
      <c r="C9166" s="9"/>
      <c r="D9166" s="9">
        <f t="shared" si="143"/>
        <v>0</v>
      </c>
      <c r="E9166" s="11"/>
      <c r="F9166" s="9" t="s">
        <v>7</v>
      </c>
    </row>
    <row r="9167" s="1" customFormat="1" customHeight="1" spans="1:6">
      <c r="A9167" s="9" t="str">
        <f>"20030830622"</f>
        <v>20030830622</v>
      </c>
      <c r="B9167" s="10">
        <v>0</v>
      </c>
      <c r="C9167" s="9"/>
      <c r="D9167" s="9">
        <f t="shared" si="143"/>
        <v>0</v>
      </c>
      <c r="E9167" s="11"/>
      <c r="F9167" s="9" t="s">
        <v>7</v>
      </c>
    </row>
    <row r="9168" s="1" customFormat="1" customHeight="1" spans="1:6">
      <c r="A9168" s="9" t="str">
        <f>"20070830623"</f>
        <v>20070830623</v>
      </c>
      <c r="B9168" s="10">
        <v>0</v>
      </c>
      <c r="C9168" s="9"/>
      <c r="D9168" s="9">
        <f t="shared" si="143"/>
        <v>0</v>
      </c>
      <c r="E9168" s="11"/>
      <c r="F9168" s="9" t="s">
        <v>7</v>
      </c>
    </row>
    <row r="9169" s="1" customFormat="1" customHeight="1" spans="1:6">
      <c r="A9169" s="9" t="str">
        <f>"20070830624"</f>
        <v>20070830624</v>
      </c>
      <c r="B9169" s="10">
        <v>0</v>
      </c>
      <c r="C9169" s="9"/>
      <c r="D9169" s="9">
        <f t="shared" si="143"/>
        <v>0</v>
      </c>
      <c r="E9169" s="11"/>
      <c r="F9169" s="9" t="s">
        <v>7</v>
      </c>
    </row>
    <row r="9170" s="1" customFormat="1" customHeight="1" spans="1:6">
      <c r="A9170" s="9" t="str">
        <f>"20190830625"</f>
        <v>20190830625</v>
      </c>
      <c r="B9170" s="10">
        <v>46.37</v>
      </c>
      <c r="C9170" s="9"/>
      <c r="D9170" s="9">
        <f t="shared" si="143"/>
        <v>46.37</v>
      </c>
      <c r="E9170" s="11"/>
      <c r="F9170" s="9"/>
    </row>
    <row r="9171" s="1" customFormat="1" customHeight="1" spans="1:6">
      <c r="A9171" s="9" t="str">
        <f>"20190830626"</f>
        <v>20190830626</v>
      </c>
      <c r="B9171" s="10">
        <v>51.87</v>
      </c>
      <c r="C9171" s="9"/>
      <c r="D9171" s="9">
        <f t="shared" si="143"/>
        <v>51.87</v>
      </c>
      <c r="E9171" s="11"/>
      <c r="F9171" s="9"/>
    </row>
    <row r="9172" s="1" customFormat="1" customHeight="1" spans="1:6">
      <c r="A9172" s="9" t="str">
        <f>"20200830627"</f>
        <v>20200830627</v>
      </c>
      <c r="B9172" s="10">
        <v>44.47</v>
      </c>
      <c r="C9172" s="9"/>
      <c r="D9172" s="9">
        <f t="shared" si="143"/>
        <v>44.47</v>
      </c>
      <c r="E9172" s="11"/>
      <c r="F9172" s="9"/>
    </row>
    <row r="9173" s="1" customFormat="1" customHeight="1" spans="1:6">
      <c r="A9173" s="9" t="str">
        <f>"20190830628"</f>
        <v>20190830628</v>
      </c>
      <c r="B9173" s="10">
        <v>50.89</v>
      </c>
      <c r="C9173" s="9"/>
      <c r="D9173" s="9">
        <f t="shared" si="143"/>
        <v>50.89</v>
      </c>
      <c r="E9173" s="11"/>
      <c r="F9173" s="9"/>
    </row>
    <row r="9174" s="1" customFormat="1" customHeight="1" spans="1:6">
      <c r="A9174" s="9" t="str">
        <f>"20020830629"</f>
        <v>20020830629</v>
      </c>
      <c r="B9174" s="10">
        <v>0</v>
      </c>
      <c r="C9174" s="9"/>
      <c r="D9174" s="9">
        <f t="shared" si="143"/>
        <v>0</v>
      </c>
      <c r="E9174" s="11"/>
      <c r="F9174" s="9" t="s">
        <v>7</v>
      </c>
    </row>
    <row r="9175" s="1" customFormat="1" customHeight="1" spans="1:6">
      <c r="A9175" s="9" t="str">
        <f>"20030830630"</f>
        <v>20030830630</v>
      </c>
      <c r="B9175" s="10">
        <v>50.89</v>
      </c>
      <c r="C9175" s="9"/>
      <c r="D9175" s="9">
        <f t="shared" si="143"/>
        <v>50.89</v>
      </c>
      <c r="E9175" s="11"/>
      <c r="F9175" s="9"/>
    </row>
    <row r="9176" s="1" customFormat="1" customHeight="1" spans="1:6">
      <c r="A9176" s="9" t="str">
        <f>"20190830701"</f>
        <v>20190830701</v>
      </c>
      <c r="B9176" s="10">
        <v>45.59</v>
      </c>
      <c r="C9176" s="9"/>
      <c r="D9176" s="9">
        <f t="shared" si="143"/>
        <v>45.59</v>
      </c>
      <c r="E9176" s="11"/>
      <c r="F9176" s="9"/>
    </row>
    <row r="9177" s="1" customFormat="1" customHeight="1" spans="1:6">
      <c r="A9177" s="9" t="str">
        <f>"20250830702"</f>
        <v>20250830702</v>
      </c>
      <c r="B9177" s="10">
        <v>47.2</v>
      </c>
      <c r="C9177" s="9"/>
      <c r="D9177" s="9">
        <f t="shared" si="143"/>
        <v>47.2</v>
      </c>
      <c r="E9177" s="11"/>
      <c r="F9177" s="9"/>
    </row>
    <row r="9178" s="1" customFormat="1" customHeight="1" spans="1:6">
      <c r="A9178" s="9" t="str">
        <f>"20220830703"</f>
        <v>20220830703</v>
      </c>
      <c r="B9178" s="10">
        <v>51.16</v>
      </c>
      <c r="C9178" s="9"/>
      <c r="D9178" s="9">
        <f t="shared" si="143"/>
        <v>51.16</v>
      </c>
      <c r="E9178" s="11"/>
      <c r="F9178" s="9"/>
    </row>
    <row r="9179" s="1" customFormat="1" customHeight="1" spans="1:6">
      <c r="A9179" s="9" t="str">
        <f>"20190830704"</f>
        <v>20190830704</v>
      </c>
      <c r="B9179" s="10">
        <v>0</v>
      </c>
      <c r="C9179" s="9"/>
      <c r="D9179" s="9">
        <f t="shared" si="143"/>
        <v>0</v>
      </c>
      <c r="E9179" s="11"/>
      <c r="F9179" s="9" t="s">
        <v>7</v>
      </c>
    </row>
    <row r="9180" s="1" customFormat="1" customHeight="1" spans="1:6">
      <c r="A9180" s="9" t="str">
        <f>"20030830705"</f>
        <v>20030830705</v>
      </c>
      <c r="B9180" s="10">
        <v>44.18</v>
      </c>
      <c r="C9180" s="9"/>
      <c r="D9180" s="9">
        <f t="shared" si="143"/>
        <v>44.18</v>
      </c>
      <c r="E9180" s="11"/>
      <c r="F9180" s="9"/>
    </row>
    <row r="9181" s="1" customFormat="1" customHeight="1" spans="1:6">
      <c r="A9181" s="9" t="str">
        <f>"20190830706"</f>
        <v>20190830706</v>
      </c>
      <c r="B9181" s="10">
        <v>59.42</v>
      </c>
      <c r="C9181" s="9"/>
      <c r="D9181" s="9">
        <f t="shared" si="143"/>
        <v>59.42</v>
      </c>
      <c r="E9181" s="11"/>
      <c r="F9181" s="9"/>
    </row>
    <row r="9182" s="1" customFormat="1" customHeight="1" spans="1:6">
      <c r="A9182" s="9" t="str">
        <f>"20190830707"</f>
        <v>20190830707</v>
      </c>
      <c r="B9182" s="10">
        <v>44.22</v>
      </c>
      <c r="C9182" s="9"/>
      <c r="D9182" s="9">
        <f t="shared" si="143"/>
        <v>44.22</v>
      </c>
      <c r="E9182" s="11"/>
      <c r="F9182" s="9"/>
    </row>
    <row r="9183" s="1" customFormat="1" customHeight="1" spans="1:6">
      <c r="A9183" s="9" t="str">
        <f>"20200830708"</f>
        <v>20200830708</v>
      </c>
      <c r="B9183" s="10">
        <v>45.72</v>
      </c>
      <c r="C9183" s="9"/>
      <c r="D9183" s="9">
        <f t="shared" si="143"/>
        <v>45.72</v>
      </c>
      <c r="E9183" s="11"/>
      <c r="F9183" s="9"/>
    </row>
    <row r="9184" s="1" customFormat="1" customHeight="1" spans="1:6">
      <c r="A9184" s="9" t="str">
        <f>"20190830709"</f>
        <v>20190830709</v>
      </c>
      <c r="B9184" s="10">
        <v>0</v>
      </c>
      <c r="C9184" s="9"/>
      <c r="D9184" s="9">
        <f t="shared" si="143"/>
        <v>0</v>
      </c>
      <c r="E9184" s="11"/>
      <c r="F9184" s="9" t="s">
        <v>7</v>
      </c>
    </row>
    <row r="9185" s="1" customFormat="1" customHeight="1" spans="1:6">
      <c r="A9185" s="9" t="str">
        <f>"20190830710"</f>
        <v>20190830710</v>
      </c>
      <c r="B9185" s="10">
        <v>0</v>
      </c>
      <c r="C9185" s="9"/>
      <c r="D9185" s="9">
        <f t="shared" si="143"/>
        <v>0</v>
      </c>
      <c r="E9185" s="11"/>
      <c r="F9185" s="9" t="s">
        <v>7</v>
      </c>
    </row>
    <row r="9186" s="1" customFormat="1" customHeight="1" spans="1:6">
      <c r="A9186" s="9" t="str">
        <f>"20190830711"</f>
        <v>20190830711</v>
      </c>
      <c r="B9186" s="10">
        <v>39.19</v>
      </c>
      <c r="C9186" s="9"/>
      <c r="D9186" s="9">
        <f t="shared" si="143"/>
        <v>39.19</v>
      </c>
      <c r="E9186" s="11"/>
      <c r="F9186" s="9"/>
    </row>
    <row r="9187" s="1" customFormat="1" customHeight="1" spans="1:6">
      <c r="A9187" s="9" t="str">
        <f>"20190830712"</f>
        <v>20190830712</v>
      </c>
      <c r="B9187" s="10">
        <v>39.98</v>
      </c>
      <c r="C9187" s="9"/>
      <c r="D9187" s="9">
        <f t="shared" si="143"/>
        <v>39.98</v>
      </c>
      <c r="E9187" s="11"/>
      <c r="F9187" s="9"/>
    </row>
    <row r="9188" s="1" customFormat="1" customHeight="1" spans="1:6">
      <c r="A9188" s="9" t="str">
        <f>"20020830713"</f>
        <v>20020830713</v>
      </c>
      <c r="B9188" s="10">
        <v>44.76</v>
      </c>
      <c r="C9188" s="9"/>
      <c r="D9188" s="9">
        <f t="shared" si="143"/>
        <v>44.76</v>
      </c>
      <c r="E9188" s="11"/>
      <c r="F9188" s="9"/>
    </row>
    <row r="9189" s="1" customFormat="1" customHeight="1" spans="1:6">
      <c r="A9189" s="9" t="str">
        <f>"20190830714"</f>
        <v>20190830714</v>
      </c>
      <c r="B9189" s="10">
        <v>50.56</v>
      </c>
      <c r="C9189" s="9"/>
      <c r="D9189" s="9">
        <f t="shared" si="143"/>
        <v>50.56</v>
      </c>
      <c r="E9189" s="11"/>
      <c r="F9189" s="9"/>
    </row>
    <row r="9190" s="1" customFormat="1" customHeight="1" spans="1:6">
      <c r="A9190" s="9" t="str">
        <f>"20190830715"</f>
        <v>20190830715</v>
      </c>
      <c r="B9190" s="10">
        <v>57.98</v>
      </c>
      <c r="C9190" s="9"/>
      <c r="D9190" s="9">
        <f t="shared" si="143"/>
        <v>57.98</v>
      </c>
      <c r="E9190" s="11"/>
      <c r="F9190" s="9"/>
    </row>
    <row r="9191" s="1" customFormat="1" customHeight="1" spans="1:6">
      <c r="A9191" s="9" t="str">
        <f>"20190830716"</f>
        <v>20190830716</v>
      </c>
      <c r="B9191" s="10">
        <v>48.31</v>
      </c>
      <c r="C9191" s="9"/>
      <c r="D9191" s="9">
        <f t="shared" si="143"/>
        <v>48.31</v>
      </c>
      <c r="E9191" s="11"/>
      <c r="F9191" s="9"/>
    </row>
    <row r="9192" s="1" customFormat="1" customHeight="1" spans="1:6">
      <c r="A9192" s="9" t="str">
        <f>"20190830717"</f>
        <v>20190830717</v>
      </c>
      <c r="B9192" s="10">
        <v>44.62</v>
      </c>
      <c r="C9192" s="9"/>
      <c r="D9192" s="9">
        <f t="shared" si="143"/>
        <v>44.62</v>
      </c>
      <c r="E9192" s="11"/>
      <c r="F9192" s="9"/>
    </row>
    <row r="9193" s="1" customFormat="1" customHeight="1" spans="1:6">
      <c r="A9193" s="9" t="str">
        <f>"20190830718"</f>
        <v>20190830718</v>
      </c>
      <c r="B9193" s="10">
        <v>40.48</v>
      </c>
      <c r="C9193" s="9"/>
      <c r="D9193" s="9">
        <f t="shared" si="143"/>
        <v>40.48</v>
      </c>
      <c r="E9193" s="11"/>
      <c r="F9193" s="9"/>
    </row>
    <row r="9194" s="1" customFormat="1" customHeight="1" spans="1:6">
      <c r="A9194" s="9" t="str">
        <f>"20030830719"</f>
        <v>20030830719</v>
      </c>
      <c r="B9194" s="10">
        <v>0</v>
      </c>
      <c r="C9194" s="9"/>
      <c r="D9194" s="9">
        <f t="shared" si="143"/>
        <v>0</v>
      </c>
      <c r="E9194" s="11"/>
      <c r="F9194" s="9" t="s">
        <v>7</v>
      </c>
    </row>
    <row r="9195" s="1" customFormat="1" customHeight="1" spans="1:6">
      <c r="A9195" s="9" t="str">
        <f>"20020830720"</f>
        <v>20020830720</v>
      </c>
      <c r="B9195" s="10">
        <v>56</v>
      </c>
      <c r="C9195" s="9"/>
      <c r="D9195" s="9">
        <f t="shared" si="143"/>
        <v>56</v>
      </c>
      <c r="E9195" s="11"/>
      <c r="F9195" s="9"/>
    </row>
    <row r="9196" s="1" customFormat="1" customHeight="1" spans="1:6">
      <c r="A9196" s="9" t="str">
        <f>"20190830721"</f>
        <v>20190830721</v>
      </c>
      <c r="B9196" s="10">
        <v>49.62</v>
      </c>
      <c r="C9196" s="9"/>
      <c r="D9196" s="9">
        <f t="shared" si="143"/>
        <v>49.62</v>
      </c>
      <c r="E9196" s="11"/>
      <c r="F9196" s="9"/>
    </row>
    <row r="9197" s="1" customFormat="1" customHeight="1" spans="1:6">
      <c r="A9197" s="9" t="str">
        <f>"20030830722"</f>
        <v>20030830722</v>
      </c>
      <c r="B9197" s="10">
        <v>63.9</v>
      </c>
      <c r="C9197" s="9"/>
      <c r="D9197" s="9">
        <f t="shared" si="143"/>
        <v>63.9</v>
      </c>
      <c r="E9197" s="11"/>
      <c r="F9197" s="9"/>
    </row>
    <row r="9198" s="1" customFormat="1" customHeight="1" spans="1:6">
      <c r="A9198" s="9" t="str">
        <f>"20190830723"</f>
        <v>20190830723</v>
      </c>
      <c r="B9198" s="10">
        <v>0</v>
      </c>
      <c r="C9198" s="9"/>
      <c r="D9198" s="9">
        <f t="shared" si="143"/>
        <v>0</v>
      </c>
      <c r="E9198" s="11"/>
      <c r="F9198" s="9" t="s">
        <v>7</v>
      </c>
    </row>
    <row r="9199" s="1" customFormat="1" customHeight="1" spans="1:6">
      <c r="A9199" s="9" t="str">
        <f>"20190830724"</f>
        <v>20190830724</v>
      </c>
      <c r="B9199" s="10">
        <v>0</v>
      </c>
      <c r="C9199" s="9"/>
      <c r="D9199" s="9">
        <f t="shared" si="143"/>
        <v>0</v>
      </c>
      <c r="E9199" s="11"/>
      <c r="F9199" s="9" t="s">
        <v>7</v>
      </c>
    </row>
    <row r="9200" s="1" customFormat="1" customHeight="1" spans="1:6">
      <c r="A9200" s="9" t="str">
        <f>"20190830725"</f>
        <v>20190830725</v>
      </c>
      <c r="B9200" s="10">
        <v>0</v>
      </c>
      <c r="C9200" s="9"/>
      <c r="D9200" s="9">
        <f t="shared" si="143"/>
        <v>0</v>
      </c>
      <c r="E9200" s="11"/>
      <c r="F9200" s="9" t="s">
        <v>7</v>
      </c>
    </row>
    <row r="9201" s="1" customFormat="1" customHeight="1" spans="1:6">
      <c r="A9201" s="9" t="str">
        <f>"10250830726"</f>
        <v>10250830726</v>
      </c>
      <c r="B9201" s="10">
        <v>0</v>
      </c>
      <c r="C9201" s="9"/>
      <c r="D9201" s="9">
        <f t="shared" si="143"/>
        <v>0</v>
      </c>
      <c r="E9201" s="11"/>
      <c r="F9201" s="9" t="s">
        <v>7</v>
      </c>
    </row>
    <row r="9202" s="1" customFormat="1" customHeight="1" spans="1:6">
      <c r="A9202" s="9" t="str">
        <f>"10250830727"</f>
        <v>10250830727</v>
      </c>
      <c r="B9202" s="10">
        <v>48.75</v>
      </c>
      <c r="C9202" s="9"/>
      <c r="D9202" s="9">
        <f t="shared" si="143"/>
        <v>48.75</v>
      </c>
      <c r="E9202" s="11"/>
      <c r="F9202" s="9"/>
    </row>
    <row r="9203" s="1" customFormat="1" customHeight="1" spans="1:6">
      <c r="A9203" s="9" t="str">
        <f>"20220830728"</f>
        <v>20220830728</v>
      </c>
      <c r="B9203" s="10">
        <v>53.75</v>
      </c>
      <c r="C9203" s="9"/>
      <c r="D9203" s="9">
        <f t="shared" si="143"/>
        <v>53.75</v>
      </c>
      <c r="E9203" s="11"/>
      <c r="F9203" s="9"/>
    </row>
    <row r="9204" s="1" customFormat="1" customHeight="1" spans="1:6">
      <c r="A9204" s="9" t="str">
        <f>"20240830729"</f>
        <v>20240830729</v>
      </c>
      <c r="B9204" s="10">
        <v>57.9</v>
      </c>
      <c r="C9204" s="9"/>
      <c r="D9204" s="9">
        <f t="shared" si="143"/>
        <v>57.9</v>
      </c>
      <c r="E9204" s="11"/>
      <c r="F9204" s="9"/>
    </row>
    <row r="9205" s="1" customFormat="1" customHeight="1" spans="1:6">
      <c r="A9205" s="9" t="str">
        <f>"20190830730"</f>
        <v>20190830730</v>
      </c>
      <c r="B9205" s="10">
        <v>40.07</v>
      </c>
      <c r="C9205" s="9"/>
      <c r="D9205" s="9">
        <f t="shared" si="143"/>
        <v>40.07</v>
      </c>
      <c r="E9205" s="11"/>
      <c r="F9205" s="9"/>
    </row>
    <row r="9206" s="1" customFormat="1" customHeight="1" spans="1:6">
      <c r="A9206" s="9" t="str">
        <f>"20190830801"</f>
        <v>20190830801</v>
      </c>
      <c r="B9206" s="10">
        <v>0</v>
      </c>
      <c r="C9206" s="9"/>
      <c r="D9206" s="9">
        <f t="shared" si="143"/>
        <v>0</v>
      </c>
      <c r="E9206" s="11"/>
      <c r="F9206" s="9" t="s">
        <v>7</v>
      </c>
    </row>
    <row r="9207" s="1" customFormat="1" customHeight="1" spans="1:6">
      <c r="A9207" s="9" t="str">
        <f>"20190830802"</f>
        <v>20190830802</v>
      </c>
      <c r="B9207" s="10">
        <v>61.42</v>
      </c>
      <c r="C9207" s="9"/>
      <c r="D9207" s="9">
        <f t="shared" si="143"/>
        <v>61.42</v>
      </c>
      <c r="E9207" s="11"/>
      <c r="F9207" s="9"/>
    </row>
    <row r="9208" s="1" customFormat="1" customHeight="1" spans="1:6">
      <c r="A9208" s="9" t="str">
        <f>"20030830803"</f>
        <v>20030830803</v>
      </c>
      <c r="B9208" s="10">
        <v>42.67</v>
      </c>
      <c r="C9208" s="9"/>
      <c r="D9208" s="9">
        <f t="shared" si="143"/>
        <v>42.67</v>
      </c>
      <c r="E9208" s="11"/>
      <c r="F9208" s="9"/>
    </row>
    <row r="9209" s="1" customFormat="1" customHeight="1" spans="1:6">
      <c r="A9209" s="9" t="str">
        <f>"20030830804"</f>
        <v>20030830804</v>
      </c>
      <c r="B9209" s="10">
        <v>55.31</v>
      </c>
      <c r="C9209" s="9"/>
      <c r="D9209" s="9">
        <f t="shared" si="143"/>
        <v>55.31</v>
      </c>
      <c r="E9209" s="11"/>
      <c r="F9209" s="9"/>
    </row>
    <row r="9210" s="1" customFormat="1" customHeight="1" spans="1:6">
      <c r="A9210" s="9" t="str">
        <f>"20140830805"</f>
        <v>20140830805</v>
      </c>
      <c r="B9210" s="10">
        <v>48.27</v>
      </c>
      <c r="C9210" s="9"/>
      <c r="D9210" s="9">
        <f t="shared" si="143"/>
        <v>48.27</v>
      </c>
      <c r="E9210" s="11"/>
      <c r="F9210" s="9"/>
    </row>
    <row r="9211" s="1" customFormat="1" customHeight="1" spans="1:6">
      <c r="A9211" s="9" t="str">
        <f>"20260830806"</f>
        <v>20260830806</v>
      </c>
      <c r="B9211" s="10">
        <v>0</v>
      </c>
      <c r="C9211" s="9"/>
      <c r="D9211" s="9">
        <f t="shared" si="143"/>
        <v>0</v>
      </c>
      <c r="E9211" s="11"/>
      <c r="F9211" s="9" t="s">
        <v>7</v>
      </c>
    </row>
    <row r="9212" s="1" customFormat="1" customHeight="1" spans="1:6">
      <c r="A9212" s="9" t="str">
        <f>"20030830807"</f>
        <v>20030830807</v>
      </c>
      <c r="B9212" s="10">
        <v>36.38</v>
      </c>
      <c r="C9212" s="9"/>
      <c r="D9212" s="9">
        <f t="shared" si="143"/>
        <v>36.38</v>
      </c>
      <c r="E9212" s="11"/>
      <c r="F9212" s="9"/>
    </row>
    <row r="9213" s="1" customFormat="1" customHeight="1" spans="1:6">
      <c r="A9213" s="9" t="str">
        <f>"20230830808"</f>
        <v>20230830808</v>
      </c>
      <c r="B9213" s="10">
        <v>54.42</v>
      </c>
      <c r="C9213" s="9"/>
      <c r="D9213" s="9">
        <f t="shared" si="143"/>
        <v>54.42</v>
      </c>
      <c r="E9213" s="11"/>
      <c r="F9213" s="9"/>
    </row>
    <row r="9214" s="1" customFormat="1" customHeight="1" spans="1:6">
      <c r="A9214" s="9" t="str">
        <f>"20070830809"</f>
        <v>20070830809</v>
      </c>
      <c r="B9214" s="10">
        <v>0</v>
      </c>
      <c r="C9214" s="9"/>
      <c r="D9214" s="9">
        <f t="shared" si="143"/>
        <v>0</v>
      </c>
      <c r="E9214" s="11"/>
      <c r="F9214" s="9" t="s">
        <v>7</v>
      </c>
    </row>
    <row r="9215" s="1" customFormat="1" customHeight="1" spans="1:6">
      <c r="A9215" s="9" t="str">
        <f>"20070830810"</f>
        <v>20070830810</v>
      </c>
      <c r="B9215" s="10">
        <v>52.48</v>
      </c>
      <c r="C9215" s="9"/>
      <c r="D9215" s="9">
        <f t="shared" si="143"/>
        <v>52.48</v>
      </c>
      <c r="E9215" s="11"/>
      <c r="F9215" s="9"/>
    </row>
    <row r="9216" s="1" customFormat="1" customHeight="1" spans="1:6">
      <c r="A9216" s="9" t="str">
        <f>"20030830811"</f>
        <v>20030830811</v>
      </c>
      <c r="B9216" s="10">
        <v>0</v>
      </c>
      <c r="C9216" s="9"/>
      <c r="D9216" s="9">
        <f t="shared" si="143"/>
        <v>0</v>
      </c>
      <c r="E9216" s="11"/>
      <c r="F9216" s="9" t="s">
        <v>7</v>
      </c>
    </row>
    <row r="9217" s="1" customFormat="1" customHeight="1" spans="1:6">
      <c r="A9217" s="9" t="str">
        <f>"20190830812"</f>
        <v>20190830812</v>
      </c>
      <c r="B9217" s="10">
        <v>50.87</v>
      </c>
      <c r="C9217" s="9"/>
      <c r="D9217" s="9">
        <f t="shared" si="143"/>
        <v>50.87</v>
      </c>
      <c r="E9217" s="11"/>
      <c r="F9217" s="9"/>
    </row>
    <row r="9218" s="1" customFormat="1" customHeight="1" spans="1:6">
      <c r="A9218" s="9" t="str">
        <f>"20190830813"</f>
        <v>20190830813</v>
      </c>
      <c r="B9218" s="10">
        <v>48.28</v>
      </c>
      <c r="C9218" s="9"/>
      <c r="D9218" s="9">
        <f t="shared" si="143"/>
        <v>48.28</v>
      </c>
      <c r="E9218" s="11"/>
      <c r="F9218" s="9"/>
    </row>
    <row r="9219" s="1" customFormat="1" customHeight="1" spans="1:6">
      <c r="A9219" s="9" t="str">
        <f>"10250830814"</f>
        <v>10250830814</v>
      </c>
      <c r="B9219" s="10">
        <v>0</v>
      </c>
      <c r="C9219" s="9"/>
      <c r="D9219" s="9">
        <f t="shared" ref="D9219:D9282" si="144">SUM(B9219:C9219)</f>
        <v>0</v>
      </c>
      <c r="E9219" s="11"/>
      <c r="F9219" s="9" t="s">
        <v>7</v>
      </c>
    </row>
    <row r="9220" s="1" customFormat="1" customHeight="1" spans="1:6">
      <c r="A9220" s="9" t="str">
        <f>"20230830815"</f>
        <v>20230830815</v>
      </c>
      <c r="B9220" s="10">
        <v>49.24</v>
      </c>
      <c r="C9220" s="9"/>
      <c r="D9220" s="9">
        <f t="shared" si="144"/>
        <v>49.24</v>
      </c>
      <c r="E9220" s="11"/>
      <c r="F9220" s="9"/>
    </row>
    <row r="9221" s="1" customFormat="1" customHeight="1" spans="1:6">
      <c r="A9221" s="9" t="str">
        <f>"20020830816"</f>
        <v>20020830816</v>
      </c>
      <c r="B9221" s="10">
        <v>49.47</v>
      </c>
      <c r="C9221" s="9"/>
      <c r="D9221" s="9">
        <f t="shared" si="144"/>
        <v>49.47</v>
      </c>
      <c r="E9221" s="11"/>
      <c r="F9221" s="9"/>
    </row>
    <row r="9222" s="1" customFormat="1" customHeight="1" spans="1:6">
      <c r="A9222" s="9" t="str">
        <f>"20030830817"</f>
        <v>20030830817</v>
      </c>
      <c r="B9222" s="10">
        <v>46.76</v>
      </c>
      <c r="C9222" s="9"/>
      <c r="D9222" s="9">
        <f t="shared" si="144"/>
        <v>46.76</v>
      </c>
      <c r="E9222" s="11"/>
      <c r="F9222" s="9"/>
    </row>
    <row r="9223" s="1" customFormat="1" customHeight="1" spans="1:6">
      <c r="A9223" s="9" t="str">
        <f>"20030830818"</f>
        <v>20030830818</v>
      </c>
      <c r="B9223" s="10">
        <v>55.6</v>
      </c>
      <c r="C9223" s="9"/>
      <c r="D9223" s="9">
        <f t="shared" si="144"/>
        <v>55.6</v>
      </c>
      <c r="E9223" s="11"/>
      <c r="F9223" s="9"/>
    </row>
    <row r="9224" s="1" customFormat="1" customHeight="1" spans="1:6">
      <c r="A9224" s="9" t="str">
        <f>"20200830819"</f>
        <v>20200830819</v>
      </c>
      <c r="B9224" s="10">
        <v>63.03</v>
      </c>
      <c r="C9224" s="9"/>
      <c r="D9224" s="9">
        <f t="shared" si="144"/>
        <v>63.03</v>
      </c>
      <c r="E9224" s="11"/>
      <c r="F9224" s="9"/>
    </row>
    <row r="9225" s="1" customFormat="1" customHeight="1" spans="1:6">
      <c r="A9225" s="9" t="str">
        <f>"20020830820"</f>
        <v>20020830820</v>
      </c>
      <c r="B9225" s="10">
        <v>0</v>
      </c>
      <c r="C9225" s="9"/>
      <c r="D9225" s="9">
        <f t="shared" si="144"/>
        <v>0</v>
      </c>
      <c r="E9225" s="11"/>
      <c r="F9225" s="9" t="s">
        <v>7</v>
      </c>
    </row>
    <row r="9226" s="1" customFormat="1" customHeight="1" spans="1:6">
      <c r="A9226" s="9" t="str">
        <f>"20200830821"</f>
        <v>20200830821</v>
      </c>
      <c r="B9226" s="10">
        <v>0</v>
      </c>
      <c r="C9226" s="9"/>
      <c r="D9226" s="9">
        <f t="shared" si="144"/>
        <v>0</v>
      </c>
      <c r="E9226" s="11"/>
      <c r="F9226" s="9" t="s">
        <v>7</v>
      </c>
    </row>
    <row r="9227" s="1" customFormat="1" customHeight="1" spans="1:6">
      <c r="A9227" s="9" t="str">
        <f>"20200830822"</f>
        <v>20200830822</v>
      </c>
      <c r="B9227" s="10">
        <v>47.93</v>
      </c>
      <c r="C9227" s="9"/>
      <c r="D9227" s="9">
        <f t="shared" si="144"/>
        <v>47.93</v>
      </c>
      <c r="E9227" s="11"/>
      <c r="F9227" s="9"/>
    </row>
    <row r="9228" s="1" customFormat="1" customHeight="1" spans="1:6">
      <c r="A9228" s="9" t="str">
        <f>"20190830823"</f>
        <v>20190830823</v>
      </c>
      <c r="B9228" s="10">
        <v>48.2</v>
      </c>
      <c r="C9228" s="9"/>
      <c r="D9228" s="9">
        <f t="shared" si="144"/>
        <v>48.2</v>
      </c>
      <c r="E9228" s="11"/>
      <c r="F9228" s="9"/>
    </row>
    <row r="9229" s="1" customFormat="1" customHeight="1" spans="1:6">
      <c r="A9229" s="9" t="str">
        <f>"20030830824"</f>
        <v>20030830824</v>
      </c>
      <c r="B9229" s="10">
        <v>0</v>
      </c>
      <c r="C9229" s="9"/>
      <c r="D9229" s="9">
        <f t="shared" si="144"/>
        <v>0</v>
      </c>
      <c r="E9229" s="11"/>
      <c r="F9229" s="9" t="s">
        <v>7</v>
      </c>
    </row>
    <row r="9230" s="1" customFormat="1" customHeight="1" spans="1:6">
      <c r="A9230" s="9" t="str">
        <f>"20190830825"</f>
        <v>20190830825</v>
      </c>
      <c r="B9230" s="10">
        <v>44.86</v>
      </c>
      <c r="C9230" s="9"/>
      <c r="D9230" s="9">
        <f t="shared" si="144"/>
        <v>44.86</v>
      </c>
      <c r="E9230" s="11"/>
      <c r="F9230" s="9"/>
    </row>
    <row r="9231" s="1" customFormat="1" customHeight="1" spans="1:6">
      <c r="A9231" s="9" t="str">
        <f>"20220830826"</f>
        <v>20220830826</v>
      </c>
      <c r="B9231" s="10">
        <v>0</v>
      </c>
      <c r="C9231" s="9"/>
      <c r="D9231" s="9">
        <f t="shared" si="144"/>
        <v>0</v>
      </c>
      <c r="E9231" s="11"/>
      <c r="F9231" s="9" t="s">
        <v>7</v>
      </c>
    </row>
    <row r="9232" s="1" customFormat="1" customHeight="1" spans="1:6">
      <c r="A9232" s="9" t="str">
        <f>"20200830827"</f>
        <v>20200830827</v>
      </c>
      <c r="B9232" s="10">
        <v>0</v>
      </c>
      <c r="C9232" s="9"/>
      <c r="D9232" s="9">
        <f t="shared" si="144"/>
        <v>0</v>
      </c>
      <c r="E9232" s="11"/>
      <c r="F9232" s="9" t="s">
        <v>7</v>
      </c>
    </row>
    <row r="9233" s="1" customFormat="1" customHeight="1" spans="1:6">
      <c r="A9233" s="9" t="str">
        <f>"20240830828"</f>
        <v>20240830828</v>
      </c>
      <c r="B9233" s="10">
        <v>57.86</v>
      </c>
      <c r="C9233" s="9"/>
      <c r="D9233" s="9">
        <f t="shared" si="144"/>
        <v>57.86</v>
      </c>
      <c r="E9233" s="11"/>
      <c r="F9233" s="9"/>
    </row>
    <row r="9234" s="1" customFormat="1" customHeight="1" spans="1:6">
      <c r="A9234" s="9" t="str">
        <f>"20230830829"</f>
        <v>20230830829</v>
      </c>
      <c r="B9234" s="10">
        <v>67.97</v>
      </c>
      <c r="C9234" s="9"/>
      <c r="D9234" s="9">
        <f t="shared" si="144"/>
        <v>67.97</v>
      </c>
      <c r="E9234" s="11"/>
      <c r="F9234" s="9"/>
    </row>
    <row r="9235" s="1" customFormat="1" customHeight="1" spans="1:6">
      <c r="A9235" s="9" t="str">
        <f>"20190830830"</f>
        <v>20190830830</v>
      </c>
      <c r="B9235" s="10">
        <v>48.6</v>
      </c>
      <c r="C9235" s="9"/>
      <c r="D9235" s="9">
        <f t="shared" si="144"/>
        <v>48.6</v>
      </c>
      <c r="E9235" s="11"/>
      <c r="F9235" s="9"/>
    </row>
    <row r="9236" s="1" customFormat="1" customHeight="1" spans="1:6">
      <c r="A9236" s="9" t="str">
        <f>"20190830901"</f>
        <v>20190830901</v>
      </c>
      <c r="B9236" s="10">
        <v>57.88</v>
      </c>
      <c r="C9236" s="9"/>
      <c r="D9236" s="9">
        <f t="shared" si="144"/>
        <v>57.88</v>
      </c>
      <c r="E9236" s="11"/>
      <c r="F9236" s="9"/>
    </row>
    <row r="9237" s="1" customFormat="1" customHeight="1" spans="1:6">
      <c r="A9237" s="9" t="str">
        <f>"20210830902"</f>
        <v>20210830902</v>
      </c>
      <c r="B9237" s="10">
        <v>56.88</v>
      </c>
      <c r="C9237" s="9"/>
      <c r="D9237" s="9">
        <f t="shared" si="144"/>
        <v>56.88</v>
      </c>
      <c r="E9237" s="11"/>
      <c r="F9237" s="9"/>
    </row>
    <row r="9238" s="1" customFormat="1" customHeight="1" spans="1:6">
      <c r="A9238" s="9" t="str">
        <f>"20240830903"</f>
        <v>20240830903</v>
      </c>
      <c r="B9238" s="10">
        <v>56.25</v>
      </c>
      <c r="C9238" s="9"/>
      <c r="D9238" s="9">
        <f t="shared" si="144"/>
        <v>56.25</v>
      </c>
      <c r="E9238" s="11"/>
      <c r="F9238" s="9"/>
    </row>
    <row r="9239" s="1" customFormat="1" customHeight="1" spans="1:6">
      <c r="A9239" s="9" t="str">
        <f>"20030830904"</f>
        <v>20030830904</v>
      </c>
      <c r="B9239" s="10">
        <v>38.48</v>
      </c>
      <c r="C9239" s="9"/>
      <c r="D9239" s="9">
        <f t="shared" si="144"/>
        <v>38.48</v>
      </c>
      <c r="E9239" s="11"/>
      <c r="F9239" s="9"/>
    </row>
    <row r="9240" s="1" customFormat="1" customHeight="1" spans="1:6">
      <c r="A9240" s="9" t="str">
        <f>"20260830905"</f>
        <v>20260830905</v>
      </c>
      <c r="B9240" s="10">
        <v>59.84</v>
      </c>
      <c r="C9240" s="9"/>
      <c r="D9240" s="9">
        <f t="shared" si="144"/>
        <v>59.84</v>
      </c>
      <c r="E9240" s="11"/>
      <c r="F9240" s="9"/>
    </row>
    <row r="9241" s="1" customFormat="1" customHeight="1" spans="1:6">
      <c r="A9241" s="9" t="str">
        <f>"20020830906"</f>
        <v>20020830906</v>
      </c>
      <c r="B9241" s="10">
        <v>58.23</v>
      </c>
      <c r="C9241" s="9"/>
      <c r="D9241" s="9">
        <f t="shared" si="144"/>
        <v>58.23</v>
      </c>
      <c r="E9241" s="11"/>
      <c r="F9241" s="9"/>
    </row>
    <row r="9242" s="1" customFormat="1" customHeight="1" spans="1:6">
      <c r="A9242" s="9" t="str">
        <f>"20030830907"</f>
        <v>20030830907</v>
      </c>
      <c r="B9242" s="10">
        <v>0</v>
      </c>
      <c r="C9242" s="9"/>
      <c r="D9242" s="9">
        <f t="shared" si="144"/>
        <v>0</v>
      </c>
      <c r="E9242" s="11"/>
      <c r="F9242" s="9" t="s">
        <v>7</v>
      </c>
    </row>
    <row r="9243" s="1" customFormat="1" customHeight="1" spans="1:6">
      <c r="A9243" s="9" t="str">
        <f>"20190830908"</f>
        <v>20190830908</v>
      </c>
      <c r="B9243" s="10">
        <v>40.92</v>
      </c>
      <c r="C9243" s="9"/>
      <c r="D9243" s="9">
        <f t="shared" si="144"/>
        <v>40.92</v>
      </c>
      <c r="E9243" s="11"/>
      <c r="F9243" s="9"/>
    </row>
    <row r="9244" s="1" customFormat="1" customHeight="1" spans="1:6">
      <c r="A9244" s="9" t="str">
        <f>"20190830909"</f>
        <v>20190830909</v>
      </c>
      <c r="B9244" s="10">
        <v>42.65</v>
      </c>
      <c r="C9244" s="9"/>
      <c r="D9244" s="9">
        <f t="shared" si="144"/>
        <v>42.65</v>
      </c>
      <c r="E9244" s="11"/>
      <c r="F9244" s="9"/>
    </row>
    <row r="9245" s="1" customFormat="1" customHeight="1" spans="1:6">
      <c r="A9245" s="9" t="str">
        <f>"10250830910"</f>
        <v>10250830910</v>
      </c>
      <c r="B9245" s="10">
        <v>54.42</v>
      </c>
      <c r="C9245" s="9"/>
      <c r="D9245" s="9">
        <f t="shared" si="144"/>
        <v>54.42</v>
      </c>
      <c r="E9245" s="11"/>
      <c r="F9245" s="9"/>
    </row>
    <row r="9246" s="1" customFormat="1" customHeight="1" spans="1:6">
      <c r="A9246" s="9" t="str">
        <f>"20260830911"</f>
        <v>20260830911</v>
      </c>
      <c r="B9246" s="10">
        <v>0</v>
      </c>
      <c r="C9246" s="9"/>
      <c r="D9246" s="9">
        <f t="shared" si="144"/>
        <v>0</v>
      </c>
      <c r="E9246" s="11"/>
      <c r="F9246" s="9" t="s">
        <v>7</v>
      </c>
    </row>
    <row r="9247" s="1" customFormat="1" customHeight="1" spans="1:6">
      <c r="A9247" s="9" t="str">
        <f>"20030830912"</f>
        <v>20030830912</v>
      </c>
      <c r="B9247" s="10">
        <v>0</v>
      </c>
      <c r="C9247" s="9"/>
      <c r="D9247" s="9">
        <f t="shared" si="144"/>
        <v>0</v>
      </c>
      <c r="E9247" s="11"/>
      <c r="F9247" s="9" t="s">
        <v>7</v>
      </c>
    </row>
    <row r="9248" s="1" customFormat="1" customHeight="1" spans="1:6">
      <c r="A9248" s="9" t="str">
        <f>"20190830913"</f>
        <v>20190830913</v>
      </c>
      <c r="B9248" s="10">
        <v>0</v>
      </c>
      <c r="C9248" s="9"/>
      <c r="D9248" s="9">
        <f t="shared" si="144"/>
        <v>0</v>
      </c>
      <c r="E9248" s="11"/>
      <c r="F9248" s="9" t="s">
        <v>7</v>
      </c>
    </row>
    <row r="9249" s="1" customFormat="1" customHeight="1" spans="1:6">
      <c r="A9249" s="9" t="str">
        <f>"20190830914"</f>
        <v>20190830914</v>
      </c>
      <c r="B9249" s="10">
        <v>49.58</v>
      </c>
      <c r="C9249" s="9"/>
      <c r="D9249" s="9">
        <f t="shared" si="144"/>
        <v>49.58</v>
      </c>
      <c r="E9249" s="11"/>
      <c r="F9249" s="9"/>
    </row>
    <row r="9250" s="1" customFormat="1" customHeight="1" spans="1:6">
      <c r="A9250" s="9" t="str">
        <f>"20020830915"</f>
        <v>20020830915</v>
      </c>
      <c r="B9250" s="10">
        <v>50.27</v>
      </c>
      <c r="C9250" s="9"/>
      <c r="D9250" s="9">
        <f t="shared" si="144"/>
        <v>50.27</v>
      </c>
      <c r="E9250" s="11"/>
      <c r="F9250" s="9"/>
    </row>
    <row r="9251" s="1" customFormat="1" customHeight="1" spans="1:6">
      <c r="A9251" s="9" t="str">
        <f>"20030830916"</f>
        <v>20030830916</v>
      </c>
      <c r="B9251" s="10">
        <v>0</v>
      </c>
      <c r="C9251" s="9"/>
      <c r="D9251" s="9">
        <f t="shared" si="144"/>
        <v>0</v>
      </c>
      <c r="E9251" s="11"/>
      <c r="F9251" s="9" t="s">
        <v>7</v>
      </c>
    </row>
    <row r="9252" s="1" customFormat="1" customHeight="1" spans="1:6">
      <c r="A9252" s="9" t="str">
        <f>"20190830917"</f>
        <v>20190830917</v>
      </c>
      <c r="B9252" s="10">
        <v>58.33</v>
      </c>
      <c r="C9252" s="9"/>
      <c r="D9252" s="9">
        <f t="shared" si="144"/>
        <v>58.33</v>
      </c>
      <c r="E9252" s="11"/>
      <c r="F9252" s="9"/>
    </row>
    <row r="9253" s="1" customFormat="1" customHeight="1" spans="1:6">
      <c r="A9253" s="9" t="str">
        <f>"20020830918"</f>
        <v>20020830918</v>
      </c>
      <c r="B9253" s="10">
        <v>0</v>
      </c>
      <c r="C9253" s="9"/>
      <c r="D9253" s="9">
        <f t="shared" si="144"/>
        <v>0</v>
      </c>
      <c r="E9253" s="11"/>
      <c r="F9253" s="9" t="s">
        <v>7</v>
      </c>
    </row>
    <row r="9254" s="1" customFormat="1" customHeight="1" spans="1:6">
      <c r="A9254" s="9" t="str">
        <f>"20220830919"</f>
        <v>20220830919</v>
      </c>
      <c r="B9254" s="10">
        <v>45.49</v>
      </c>
      <c r="C9254" s="9"/>
      <c r="D9254" s="9">
        <f t="shared" si="144"/>
        <v>45.49</v>
      </c>
      <c r="E9254" s="11"/>
      <c r="F9254" s="9"/>
    </row>
    <row r="9255" s="1" customFormat="1" customHeight="1" spans="1:6">
      <c r="A9255" s="9" t="str">
        <f>"20190830920"</f>
        <v>20190830920</v>
      </c>
      <c r="B9255" s="10">
        <v>50.95</v>
      </c>
      <c r="C9255" s="9"/>
      <c r="D9255" s="9">
        <f t="shared" si="144"/>
        <v>50.95</v>
      </c>
      <c r="E9255" s="11"/>
      <c r="F9255" s="9"/>
    </row>
    <row r="9256" s="1" customFormat="1" customHeight="1" spans="1:6">
      <c r="A9256" s="9" t="str">
        <f>"20260830921"</f>
        <v>20260830921</v>
      </c>
      <c r="B9256" s="10">
        <v>0</v>
      </c>
      <c r="C9256" s="9"/>
      <c r="D9256" s="9">
        <f t="shared" si="144"/>
        <v>0</v>
      </c>
      <c r="E9256" s="11"/>
      <c r="F9256" s="9" t="s">
        <v>7</v>
      </c>
    </row>
    <row r="9257" s="1" customFormat="1" customHeight="1" spans="1:6">
      <c r="A9257" s="9" t="str">
        <f>"20190830922"</f>
        <v>20190830922</v>
      </c>
      <c r="B9257" s="10">
        <v>0</v>
      </c>
      <c r="C9257" s="9"/>
      <c r="D9257" s="9">
        <f t="shared" si="144"/>
        <v>0</v>
      </c>
      <c r="E9257" s="11"/>
      <c r="F9257" s="9" t="s">
        <v>7</v>
      </c>
    </row>
    <row r="9258" s="1" customFormat="1" customHeight="1" spans="1:6">
      <c r="A9258" s="9" t="str">
        <f>"20190830923"</f>
        <v>20190830923</v>
      </c>
      <c r="B9258" s="10">
        <v>52.21</v>
      </c>
      <c r="C9258" s="9"/>
      <c r="D9258" s="9">
        <f t="shared" si="144"/>
        <v>52.21</v>
      </c>
      <c r="E9258" s="11"/>
      <c r="F9258" s="9"/>
    </row>
    <row r="9259" s="1" customFormat="1" customHeight="1" spans="1:6">
      <c r="A9259" s="9" t="str">
        <f>"20190830924"</f>
        <v>20190830924</v>
      </c>
      <c r="B9259" s="10">
        <v>49.41</v>
      </c>
      <c r="C9259" s="9"/>
      <c r="D9259" s="9">
        <f t="shared" si="144"/>
        <v>49.41</v>
      </c>
      <c r="E9259" s="11"/>
      <c r="F9259" s="9"/>
    </row>
    <row r="9260" s="1" customFormat="1" customHeight="1" spans="1:6">
      <c r="A9260" s="9" t="str">
        <f>"20020830925"</f>
        <v>20020830925</v>
      </c>
      <c r="B9260" s="10">
        <v>51.64</v>
      </c>
      <c r="C9260" s="9"/>
      <c r="D9260" s="9">
        <f t="shared" si="144"/>
        <v>51.64</v>
      </c>
      <c r="E9260" s="11"/>
      <c r="F9260" s="9"/>
    </row>
    <row r="9261" s="1" customFormat="1" customHeight="1" spans="1:6">
      <c r="A9261" s="9" t="str">
        <f>"20190830926"</f>
        <v>20190830926</v>
      </c>
      <c r="B9261" s="10">
        <v>41.7</v>
      </c>
      <c r="C9261" s="9"/>
      <c r="D9261" s="9">
        <f t="shared" si="144"/>
        <v>41.7</v>
      </c>
      <c r="E9261" s="11"/>
      <c r="F9261" s="9"/>
    </row>
    <row r="9262" s="1" customFormat="1" customHeight="1" spans="1:6">
      <c r="A9262" s="9" t="str">
        <f>"20020830927"</f>
        <v>20020830927</v>
      </c>
      <c r="B9262" s="10">
        <v>48.72</v>
      </c>
      <c r="C9262" s="9"/>
      <c r="D9262" s="9">
        <f t="shared" si="144"/>
        <v>48.72</v>
      </c>
      <c r="E9262" s="11"/>
      <c r="F9262" s="9"/>
    </row>
    <row r="9263" s="1" customFormat="1" customHeight="1" spans="1:6">
      <c r="A9263" s="9" t="str">
        <f>"20190830928"</f>
        <v>20190830928</v>
      </c>
      <c r="B9263" s="10">
        <v>40.63</v>
      </c>
      <c r="C9263" s="9"/>
      <c r="D9263" s="9">
        <f t="shared" si="144"/>
        <v>40.63</v>
      </c>
      <c r="E9263" s="11"/>
      <c r="F9263" s="9"/>
    </row>
    <row r="9264" s="1" customFormat="1" customHeight="1" spans="1:6">
      <c r="A9264" s="9" t="str">
        <f>"20190830929"</f>
        <v>20190830929</v>
      </c>
      <c r="B9264" s="10">
        <v>41.91</v>
      </c>
      <c r="C9264" s="9"/>
      <c r="D9264" s="9">
        <f t="shared" si="144"/>
        <v>41.91</v>
      </c>
      <c r="E9264" s="11"/>
      <c r="F9264" s="9"/>
    </row>
    <row r="9265" s="1" customFormat="1" customHeight="1" spans="1:6">
      <c r="A9265" s="9" t="str">
        <f>"20070830930"</f>
        <v>20070830930</v>
      </c>
      <c r="B9265" s="10">
        <v>56.98</v>
      </c>
      <c r="C9265" s="9"/>
      <c r="D9265" s="9">
        <f t="shared" si="144"/>
        <v>56.98</v>
      </c>
      <c r="E9265" s="11"/>
      <c r="F9265" s="9"/>
    </row>
    <row r="9266" s="1" customFormat="1" customHeight="1" spans="1:6">
      <c r="A9266" s="9" t="str">
        <f>"20020831001"</f>
        <v>20020831001</v>
      </c>
      <c r="B9266" s="10">
        <v>58.21</v>
      </c>
      <c r="C9266" s="9"/>
      <c r="D9266" s="9">
        <f t="shared" si="144"/>
        <v>58.21</v>
      </c>
      <c r="E9266" s="11"/>
      <c r="F9266" s="9"/>
    </row>
    <row r="9267" s="1" customFormat="1" customHeight="1" spans="1:6">
      <c r="A9267" s="9" t="str">
        <f>"20100831002"</f>
        <v>20100831002</v>
      </c>
      <c r="B9267" s="10">
        <v>57.32</v>
      </c>
      <c r="C9267" s="9"/>
      <c r="D9267" s="9">
        <f t="shared" si="144"/>
        <v>57.32</v>
      </c>
      <c r="E9267" s="11"/>
      <c r="F9267" s="9"/>
    </row>
    <row r="9268" s="1" customFormat="1" customHeight="1" spans="1:6">
      <c r="A9268" s="9" t="str">
        <f>"20190831003"</f>
        <v>20190831003</v>
      </c>
      <c r="B9268" s="10">
        <v>0</v>
      </c>
      <c r="C9268" s="9"/>
      <c r="D9268" s="9">
        <f t="shared" si="144"/>
        <v>0</v>
      </c>
      <c r="E9268" s="11"/>
      <c r="F9268" s="9" t="s">
        <v>7</v>
      </c>
    </row>
    <row r="9269" s="1" customFormat="1" customHeight="1" spans="1:6">
      <c r="A9269" s="9" t="str">
        <f>"20190831004"</f>
        <v>20190831004</v>
      </c>
      <c r="B9269" s="10">
        <v>53.02</v>
      </c>
      <c r="C9269" s="9"/>
      <c r="D9269" s="9">
        <f t="shared" si="144"/>
        <v>53.02</v>
      </c>
      <c r="E9269" s="11"/>
      <c r="F9269" s="9"/>
    </row>
    <row r="9270" s="1" customFormat="1" customHeight="1" spans="1:6">
      <c r="A9270" s="9" t="str">
        <f>"20190831005"</f>
        <v>20190831005</v>
      </c>
      <c r="B9270" s="10">
        <v>55.04</v>
      </c>
      <c r="C9270" s="9"/>
      <c r="D9270" s="9">
        <f t="shared" si="144"/>
        <v>55.04</v>
      </c>
      <c r="E9270" s="11"/>
      <c r="F9270" s="9"/>
    </row>
    <row r="9271" s="1" customFormat="1" customHeight="1" spans="1:6">
      <c r="A9271" s="9" t="str">
        <f>"20230831006"</f>
        <v>20230831006</v>
      </c>
      <c r="B9271" s="10">
        <v>50.91</v>
      </c>
      <c r="C9271" s="9"/>
      <c r="D9271" s="9">
        <f t="shared" si="144"/>
        <v>50.91</v>
      </c>
      <c r="E9271" s="11"/>
      <c r="F9271" s="9"/>
    </row>
    <row r="9272" s="1" customFormat="1" customHeight="1" spans="1:6">
      <c r="A9272" s="9" t="str">
        <f>"20200831007"</f>
        <v>20200831007</v>
      </c>
      <c r="B9272" s="10">
        <v>46.08</v>
      </c>
      <c r="C9272" s="9"/>
      <c r="D9272" s="9">
        <f t="shared" si="144"/>
        <v>46.08</v>
      </c>
      <c r="E9272" s="11"/>
      <c r="F9272" s="9"/>
    </row>
    <row r="9273" s="1" customFormat="1" customHeight="1" spans="1:6">
      <c r="A9273" s="9" t="str">
        <f>"20190831008"</f>
        <v>20190831008</v>
      </c>
      <c r="B9273" s="10">
        <v>53.96</v>
      </c>
      <c r="C9273" s="9"/>
      <c r="D9273" s="9">
        <f t="shared" si="144"/>
        <v>53.96</v>
      </c>
      <c r="E9273" s="11"/>
      <c r="F9273" s="9"/>
    </row>
    <row r="9274" s="1" customFormat="1" customHeight="1" spans="1:6">
      <c r="A9274" s="9" t="str">
        <f>"20190831009"</f>
        <v>20190831009</v>
      </c>
      <c r="B9274" s="10">
        <v>42.49</v>
      </c>
      <c r="C9274" s="9"/>
      <c r="D9274" s="9">
        <f t="shared" si="144"/>
        <v>42.49</v>
      </c>
      <c r="E9274" s="11"/>
      <c r="F9274" s="9"/>
    </row>
    <row r="9275" s="1" customFormat="1" customHeight="1" spans="1:6">
      <c r="A9275" s="9" t="str">
        <f>"20130831010"</f>
        <v>20130831010</v>
      </c>
      <c r="B9275" s="10">
        <v>60.32</v>
      </c>
      <c r="C9275" s="9"/>
      <c r="D9275" s="9">
        <f t="shared" si="144"/>
        <v>60.32</v>
      </c>
      <c r="E9275" s="11"/>
      <c r="F9275" s="9"/>
    </row>
    <row r="9276" s="1" customFormat="1" customHeight="1" spans="1:6">
      <c r="A9276" s="9" t="str">
        <f>"20020831011"</f>
        <v>20020831011</v>
      </c>
      <c r="B9276" s="10">
        <v>56.19</v>
      </c>
      <c r="C9276" s="9"/>
      <c r="D9276" s="9">
        <f t="shared" si="144"/>
        <v>56.19</v>
      </c>
      <c r="E9276" s="11"/>
      <c r="F9276" s="9"/>
    </row>
    <row r="9277" s="1" customFormat="1" customHeight="1" spans="1:6">
      <c r="A9277" s="9" t="str">
        <f>"20030831012"</f>
        <v>20030831012</v>
      </c>
      <c r="B9277" s="10">
        <v>0</v>
      </c>
      <c r="C9277" s="9"/>
      <c r="D9277" s="9">
        <f t="shared" si="144"/>
        <v>0</v>
      </c>
      <c r="E9277" s="11"/>
      <c r="F9277" s="9" t="s">
        <v>7</v>
      </c>
    </row>
    <row r="9278" s="1" customFormat="1" customHeight="1" spans="1:6">
      <c r="A9278" s="9" t="str">
        <f>"20020831013"</f>
        <v>20020831013</v>
      </c>
      <c r="B9278" s="10">
        <v>61.84</v>
      </c>
      <c r="C9278" s="9"/>
      <c r="D9278" s="9">
        <f t="shared" si="144"/>
        <v>61.84</v>
      </c>
      <c r="E9278" s="11"/>
      <c r="F9278" s="9"/>
    </row>
    <row r="9279" s="1" customFormat="1" customHeight="1" spans="1:6">
      <c r="A9279" s="9" t="str">
        <f>"20190831014"</f>
        <v>20190831014</v>
      </c>
      <c r="B9279" s="10">
        <v>54.73</v>
      </c>
      <c r="C9279" s="9"/>
      <c r="D9279" s="9">
        <f t="shared" si="144"/>
        <v>54.73</v>
      </c>
      <c r="E9279" s="11"/>
      <c r="F9279" s="9"/>
    </row>
    <row r="9280" s="1" customFormat="1" customHeight="1" spans="1:6">
      <c r="A9280" s="9" t="str">
        <f>"20070831015"</f>
        <v>20070831015</v>
      </c>
      <c r="B9280" s="10">
        <v>45.51</v>
      </c>
      <c r="C9280" s="9"/>
      <c r="D9280" s="9">
        <f t="shared" si="144"/>
        <v>45.51</v>
      </c>
      <c r="E9280" s="11"/>
      <c r="F9280" s="9"/>
    </row>
    <row r="9281" s="1" customFormat="1" customHeight="1" spans="1:6">
      <c r="A9281" s="9" t="str">
        <f>"20100831016"</f>
        <v>20100831016</v>
      </c>
      <c r="B9281" s="10">
        <v>49.06</v>
      </c>
      <c r="C9281" s="9"/>
      <c r="D9281" s="9">
        <f t="shared" si="144"/>
        <v>49.06</v>
      </c>
      <c r="E9281" s="11"/>
      <c r="F9281" s="9"/>
    </row>
    <row r="9282" s="1" customFormat="1" customHeight="1" spans="1:6">
      <c r="A9282" s="9" t="str">
        <f>"20190831017"</f>
        <v>20190831017</v>
      </c>
      <c r="B9282" s="10">
        <v>55.04</v>
      </c>
      <c r="C9282" s="9"/>
      <c r="D9282" s="9">
        <f t="shared" si="144"/>
        <v>55.04</v>
      </c>
      <c r="E9282" s="11"/>
      <c r="F9282" s="9"/>
    </row>
    <row r="9283" s="1" customFormat="1" customHeight="1" spans="1:6">
      <c r="A9283" s="9" t="str">
        <f>"20100831018"</f>
        <v>20100831018</v>
      </c>
      <c r="B9283" s="10">
        <v>47.64</v>
      </c>
      <c r="C9283" s="9"/>
      <c r="D9283" s="9">
        <f t="shared" ref="D9283:D9346" si="145">SUM(B9283:C9283)</f>
        <v>47.64</v>
      </c>
      <c r="E9283" s="11"/>
      <c r="F9283" s="9"/>
    </row>
    <row r="9284" s="1" customFormat="1" customHeight="1" spans="1:6">
      <c r="A9284" s="9" t="str">
        <f>"20200831019"</f>
        <v>20200831019</v>
      </c>
      <c r="B9284" s="10">
        <v>0</v>
      </c>
      <c r="C9284" s="9"/>
      <c r="D9284" s="9">
        <f t="shared" si="145"/>
        <v>0</v>
      </c>
      <c r="E9284" s="11"/>
      <c r="F9284" s="9" t="s">
        <v>7</v>
      </c>
    </row>
    <row r="9285" s="1" customFormat="1" customHeight="1" spans="1:6">
      <c r="A9285" s="9" t="str">
        <f>"20020831020"</f>
        <v>20020831020</v>
      </c>
      <c r="B9285" s="10">
        <v>39.67</v>
      </c>
      <c r="C9285" s="9"/>
      <c r="D9285" s="9">
        <f t="shared" si="145"/>
        <v>39.67</v>
      </c>
      <c r="E9285" s="11"/>
      <c r="F9285" s="9"/>
    </row>
    <row r="9286" s="1" customFormat="1" customHeight="1" spans="1:6">
      <c r="A9286" s="9" t="str">
        <f>"20210831021"</f>
        <v>20210831021</v>
      </c>
      <c r="B9286" s="10">
        <v>53.65</v>
      </c>
      <c r="C9286" s="9"/>
      <c r="D9286" s="9">
        <f t="shared" si="145"/>
        <v>53.65</v>
      </c>
      <c r="E9286" s="11"/>
      <c r="F9286" s="9"/>
    </row>
    <row r="9287" s="1" customFormat="1" customHeight="1" spans="1:6">
      <c r="A9287" s="9" t="str">
        <f>"20030831022"</f>
        <v>20030831022</v>
      </c>
      <c r="B9287" s="10">
        <v>0</v>
      </c>
      <c r="C9287" s="9"/>
      <c r="D9287" s="9">
        <f t="shared" si="145"/>
        <v>0</v>
      </c>
      <c r="E9287" s="11"/>
      <c r="F9287" s="9" t="s">
        <v>7</v>
      </c>
    </row>
    <row r="9288" s="1" customFormat="1" customHeight="1" spans="1:6">
      <c r="A9288" s="9" t="str">
        <f>"20030831023"</f>
        <v>20030831023</v>
      </c>
      <c r="B9288" s="10">
        <v>0</v>
      </c>
      <c r="C9288" s="9"/>
      <c r="D9288" s="9">
        <f t="shared" si="145"/>
        <v>0</v>
      </c>
      <c r="E9288" s="11"/>
      <c r="F9288" s="9" t="s">
        <v>7</v>
      </c>
    </row>
    <row r="9289" s="1" customFormat="1" customHeight="1" spans="1:6">
      <c r="A9289" s="9" t="str">
        <f>"20230831024"</f>
        <v>20230831024</v>
      </c>
      <c r="B9289" s="10">
        <v>45.89</v>
      </c>
      <c r="C9289" s="9"/>
      <c r="D9289" s="9">
        <f t="shared" si="145"/>
        <v>45.89</v>
      </c>
      <c r="E9289" s="11"/>
      <c r="F9289" s="9"/>
    </row>
    <row r="9290" s="1" customFormat="1" customHeight="1" spans="1:6">
      <c r="A9290" s="9" t="str">
        <f>"20190831025"</f>
        <v>20190831025</v>
      </c>
      <c r="B9290" s="10">
        <v>0</v>
      </c>
      <c r="C9290" s="9"/>
      <c r="D9290" s="9">
        <f t="shared" si="145"/>
        <v>0</v>
      </c>
      <c r="E9290" s="11"/>
      <c r="F9290" s="9" t="s">
        <v>7</v>
      </c>
    </row>
    <row r="9291" s="1" customFormat="1" customHeight="1" spans="1:6">
      <c r="A9291" s="9" t="str">
        <f>"10250831026"</f>
        <v>10250831026</v>
      </c>
      <c r="B9291" s="10">
        <v>0</v>
      </c>
      <c r="C9291" s="9"/>
      <c r="D9291" s="9">
        <f t="shared" si="145"/>
        <v>0</v>
      </c>
      <c r="E9291" s="11"/>
      <c r="F9291" s="9" t="s">
        <v>7</v>
      </c>
    </row>
    <row r="9292" s="1" customFormat="1" customHeight="1" spans="1:6">
      <c r="A9292" s="9" t="str">
        <f>"20220831027"</f>
        <v>20220831027</v>
      </c>
      <c r="B9292" s="10">
        <v>0</v>
      </c>
      <c r="C9292" s="9"/>
      <c r="D9292" s="9">
        <f t="shared" si="145"/>
        <v>0</v>
      </c>
      <c r="E9292" s="11"/>
      <c r="F9292" s="9" t="s">
        <v>7</v>
      </c>
    </row>
    <row r="9293" s="1" customFormat="1" customHeight="1" spans="1:6">
      <c r="A9293" s="9" t="str">
        <f>"20020831028"</f>
        <v>20020831028</v>
      </c>
      <c r="B9293" s="10">
        <v>50.91</v>
      </c>
      <c r="C9293" s="9"/>
      <c r="D9293" s="9">
        <f t="shared" si="145"/>
        <v>50.91</v>
      </c>
      <c r="E9293" s="11"/>
      <c r="F9293" s="9"/>
    </row>
    <row r="9294" s="1" customFormat="1" customHeight="1" spans="1:6">
      <c r="A9294" s="9" t="str">
        <f>"20070831029"</f>
        <v>20070831029</v>
      </c>
      <c r="B9294" s="10">
        <v>44.2</v>
      </c>
      <c r="C9294" s="9"/>
      <c r="D9294" s="9">
        <f t="shared" si="145"/>
        <v>44.2</v>
      </c>
      <c r="E9294" s="11"/>
      <c r="F9294" s="9"/>
    </row>
    <row r="9295" s="1" customFormat="1" customHeight="1" spans="1:6">
      <c r="A9295" s="9" t="str">
        <f>"20100831030"</f>
        <v>20100831030</v>
      </c>
      <c r="B9295" s="10">
        <v>50.52</v>
      </c>
      <c r="C9295" s="9"/>
      <c r="D9295" s="9">
        <f t="shared" si="145"/>
        <v>50.52</v>
      </c>
      <c r="E9295" s="11"/>
      <c r="F9295" s="9"/>
    </row>
    <row r="9296" s="1" customFormat="1" customHeight="1" spans="1:6">
      <c r="A9296" s="9" t="str">
        <f>"20030831101"</f>
        <v>20030831101</v>
      </c>
      <c r="B9296" s="10">
        <v>0</v>
      </c>
      <c r="C9296" s="9"/>
      <c r="D9296" s="9">
        <f t="shared" si="145"/>
        <v>0</v>
      </c>
      <c r="E9296" s="11"/>
      <c r="F9296" s="9" t="s">
        <v>7</v>
      </c>
    </row>
    <row r="9297" s="1" customFormat="1" customHeight="1" spans="1:6">
      <c r="A9297" s="9" t="str">
        <f>"20030831102"</f>
        <v>20030831102</v>
      </c>
      <c r="B9297" s="10">
        <v>50.72</v>
      </c>
      <c r="C9297" s="9"/>
      <c r="D9297" s="9">
        <f t="shared" si="145"/>
        <v>50.72</v>
      </c>
      <c r="E9297" s="11"/>
      <c r="F9297" s="9"/>
    </row>
    <row r="9298" s="1" customFormat="1" customHeight="1" spans="1:6">
      <c r="A9298" s="9" t="str">
        <f>"20200831103"</f>
        <v>20200831103</v>
      </c>
      <c r="B9298" s="10">
        <v>0</v>
      </c>
      <c r="C9298" s="9"/>
      <c r="D9298" s="9">
        <f t="shared" si="145"/>
        <v>0</v>
      </c>
      <c r="E9298" s="11"/>
      <c r="F9298" s="9" t="s">
        <v>7</v>
      </c>
    </row>
    <row r="9299" s="1" customFormat="1" customHeight="1" spans="1:6">
      <c r="A9299" s="9" t="str">
        <f>"20190831104"</f>
        <v>20190831104</v>
      </c>
      <c r="B9299" s="10">
        <v>47.22</v>
      </c>
      <c r="C9299" s="9"/>
      <c r="D9299" s="9">
        <f t="shared" si="145"/>
        <v>47.22</v>
      </c>
      <c r="E9299" s="11"/>
      <c r="F9299" s="9"/>
    </row>
    <row r="9300" s="1" customFormat="1" customHeight="1" spans="1:6">
      <c r="A9300" s="9" t="str">
        <f>"20030831105"</f>
        <v>20030831105</v>
      </c>
      <c r="B9300" s="10">
        <v>52.83</v>
      </c>
      <c r="C9300" s="9"/>
      <c r="D9300" s="9">
        <f t="shared" si="145"/>
        <v>52.83</v>
      </c>
      <c r="E9300" s="11"/>
      <c r="F9300" s="9"/>
    </row>
    <row r="9301" s="1" customFormat="1" customHeight="1" spans="1:6">
      <c r="A9301" s="9" t="str">
        <f>"20190831106"</f>
        <v>20190831106</v>
      </c>
      <c r="B9301" s="10">
        <v>41.95</v>
      </c>
      <c r="C9301" s="9"/>
      <c r="D9301" s="9">
        <f t="shared" si="145"/>
        <v>41.95</v>
      </c>
      <c r="E9301" s="11"/>
      <c r="F9301" s="9"/>
    </row>
    <row r="9302" s="1" customFormat="1" customHeight="1" spans="1:6">
      <c r="A9302" s="9" t="str">
        <f>"20250831107"</f>
        <v>20250831107</v>
      </c>
      <c r="B9302" s="10">
        <v>59.95</v>
      </c>
      <c r="C9302" s="9"/>
      <c r="D9302" s="9">
        <f t="shared" si="145"/>
        <v>59.95</v>
      </c>
      <c r="E9302" s="11"/>
      <c r="F9302" s="9"/>
    </row>
    <row r="9303" s="1" customFormat="1" customHeight="1" spans="1:6">
      <c r="A9303" s="9" t="str">
        <f>"20220831108"</f>
        <v>20220831108</v>
      </c>
      <c r="B9303" s="10">
        <v>0</v>
      </c>
      <c r="C9303" s="9"/>
      <c r="D9303" s="9">
        <f t="shared" si="145"/>
        <v>0</v>
      </c>
      <c r="E9303" s="11"/>
      <c r="F9303" s="9" t="s">
        <v>7</v>
      </c>
    </row>
    <row r="9304" s="1" customFormat="1" customHeight="1" spans="1:6">
      <c r="A9304" s="9" t="str">
        <f>"10250831109"</f>
        <v>10250831109</v>
      </c>
      <c r="B9304" s="10">
        <v>48.08</v>
      </c>
      <c r="C9304" s="9"/>
      <c r="D9304" s="9">
        <f t="shared" si="145"/>
        <v>48.08</v>
      </c>
      <c r="E9304" s="11"/>
      <c r="F9304" s="9"/>
    </row>
    <row r="9305" s="1" customFormat="1" customHeight="1" spans="1:6">
      <c r="A9305" s="9" t="str">
        <f>"20190831110"</f>
        <v>20190831110</v>
      </c>
      <c r="B9305" s="10">
        <v>50.12</v>
      </c>
      <c r="C9305" s="9"/>
      <c r="D9305" s="9">
        <f t="shared" si="145"/>
        <v>50.12</v>
      </c>
      <c r="E9305" s="11"/>
      <c r="F9305" s="9"/>
    </row>
    <row r="9306" s="1" customFormat="1" customHeight="1" spans="1:6">
      <c r="A9306" s="9" t="str">
        <f>"20030831111"</f>
        <v>20030831111</v>
      </c>
      <c r="B9306" s="10">
        <v>54.08</v>
      </c>
      <c r="C9306" s="9"/>
      <c r="D9306" s="9">
        <f t="shared" si="145"/>
        <v>54.08</v>
      </c>
      <c r="E9306" s="11"/>
      <c r="F9306" s="9"/>
    </row>
    <row r="9307" s="1" customFormat="1" customHeight="1" spans="1:6">
      <c r="A9307" s="9" t="str">
        <f>"20100831112"</f>
        <v>20100831112</v>
      </c>
      <c r="B9307" s="10">
        <v>46.87</v>
      </c>
      <c r="C9307" s="9"/>
      <c r="D9307" s="9">
        <f t="shared" si="145"/>
        <v>46.87</v>
      </c>
      <c r="E9307" s="11"/>
      <c r="F9307" s="9"/>
    </row>
    <row r="9308" s="1" customFormat="1" customHeight="1" spans="1:6">
      <c r="A9308" s="9" t="str">
        <f>"20200831113"</f>
        <v>20200831113</v>
      </c>
      <c r="B9308" s="10">
        <v>46.43</v>
      </c>
      <c r="C9308" s="9"/>
      <c r="D9308" s="9">
        <f t="shared" si="145"/>
        <v>46.43</v>
      </c>
      <c r="E9308" s="11"/>
      <c r="F9308" s="9"/>
    </row>
    <row r="9309" s="1" customFormat="1" customHeight="1" spans="1:6">
      <c r="A9309" s="9" t="str">
        <f>"20070831114"</f>
        <v>20070831114</v>
      </c>
      <c r="B9309" s="10">
        <v>48.66</v>
      </c>
      <c r="C9309" s="9"/>
      <c r="D9309" s="9">
        <f t="shared" si="145"/>
        <v>48.66</v>
      </c>
      <c r="E9309" s="11"/>
      <c r="F9309" s="9"/>
    </row>
    <row r="9310" s="1" customFormat="1" customHeight="1" spans="1:6">
      <c r="A9310" s="9" t="str">
        <f>"20190831115"</f>
        <v>20190831115</v>
      </c>
      <c r="B9310" s="10">
        <v>0</v>
      </c>
      <c r="C9310" s="9"/>
      <c r="D9310" s="9">
        <f t="shared" si="145"/>
        <v>0</v>
      </c>
      <c r="E9310" s="11"/>
      <c r="F9310" s="9" t="s">
        <v>7</v>
      </c>
    </row>
    <row r="9311" s="1" customFormat="1" customHeight="1" spans="1:6">
      <c r="A9311" s="9" t="str">
        <f>"10250831116"</f>
        <v>10250831116</v>
      </c>
      <c r="B9311" s="10">
        <v>47.12</v>
      </c>
      <c r="C9311" s="9"/>
      <c r="D9311" s="9">
        <f t="shared" si="145"/>
        <v>47.12</v>
      </c>
      <c r="E9311" s="11"/>
      <c r="F9311" s="9"/>
    </row>
    <row r="9312" s="1" customFormat="1" customHeight="1" spans="1:6">
      <c r="A9312" s="9" t="str">
        <f>"20190831117"</f>
        <v>20190831117</v>
      </c>
      <c r="B9312" s="10">
        <v>42.72</v>
      </c>
      <c r="C9312" s="9"/>
      <c r="D9312" s="9">
        <f t="shared" si="145"/>
        <v>42.72</v>
      </c>
      <c r="E9312" s="11"/>
      <c r="F9312" s="9"/>
    </row>
    <row r="9313" s="1" customFormat="1" customHeight="1" spans="1:6">
      <c r="A9313" s="9" t="str">
        <f>"20190831118"</f>
        <v>20190831118</v>
      </c>
      <c r="B9313" s="10">
        <v>0</v>
      </c>
      <c r="C9313" s="9"/>
      <c r="D9313" s="9">
        <f t="shared" si="145"/>
        <v>0</v>
      </c>
      <c r="E9313" s="11"/>
      <c r="F9313" s="9" t="s">
        <v>7</v>
      </c>
    </row>
    <row r="9314" s="1" customFormat="1" customHeight="1" spans="1:6">
      <c r="A9314" s="9" t="str">
        <f>"20020831119"</f>
        <v>20020831119</v>
      </c>
      <c r="B9314" s="10">
        <v>48.47</v>
      </c>
      <c r="C9314" s="9"/>
      <c r="D9314" s="9">
        <f t="shared" si="145"/>
        <v>48.47</v>
      </c>
      <c r="E9314" s="11"/>
      <c r="F9314" s="9"/>
    </row>
    <row r="9315" s="1" customFormat="1" customHeight="1" spans="1:6">
      <c r="A9315" s="9" t="str">
        <f>"20210831120"</f>
        <v>20210831120</v>
      </c>
      <c r="B9315" s="10">
        <v>50.18</v>
      </c>
      <c r="C9315" s="9"/>
      <c r="D9315" s="9">
        <f t="shared" si="145"/>
        <v>50.18</v>
      </c>
      <c r="E9315" s="11"/>
      <c r="F9315" s="9"/>
    </row>
    <row r="9316" s="1" customFormat="1" customHeight="1" spans="1:6">
      <c r="A9316" s="9" t="str">
        <f>"20190831121"</f>
        <v>20190831121</v>
      </c>
      <c r="B9316" s="10">
        <v>40.86</v>
      </c>
      <c r="C9316" s="9"/>
      <c r="D9316" s="9">
        <f t="shared" si="145"/>
        <v>40.86</v>
      </c>
      <c r="E9316" s="11"/>
      <c r="F9316" s="9"/>
    </row>
    <row r="9317" s="1" customFormat="1" customHeight="1" spans="1:6">
      <c r="A9317" s="9" t="str">
        <f>"20020831122"</f>
        <v>20020831122</v>
      </c>
      <c r="B9317" s="10">
        <v>48.56</v>
      </c>
      <c r="C9317" s="9"/>
      <c r="D9317" s="9">
        <f t="shared" si="145"/>
        <v>48.56</v>
      </c>
      <c r="E9317" s="11"/>
      <c r="F9317" s="9"/>
    </row>
    <row r="9318" s="1" customFormat="1" customHeight="1" spans="1:6">
      <c r="A9318" s="9" t="str">
        <f>"20200831123"</f>
        <v>20200831123</v>
      </c>
      <c r="B9318" s="10">
        <v>51.6</v>
      </c>
      <c r="C9318" s="9"/>
      <c r="D9318" s="9">
        <f t="shared" si="145"/>
        <v>51.6</v>
      </c>
      <c r="E9318" s="11"/>
      <c r="F9318" s="9"/>
    </row>
    <row r="9319" s="1" customFormat="1" customHeight="1" spans="1:6">
      <c r="A9319" s="9" t="str">
        <f>"20210831124"</f>
        <v>20210831124</v>
      </c>
      <c r="B9319" s="10">
        <v>49.25</v>
      </c>
      <c r="C9319" s="9"/>
      <c r="D9319" s="9">
        <f t="shared" si="145"/>
        <v>49.25</v>
      </c>
      <c r="E9319" s="11"/>
      <c r="F9319" s="9"/>
    </row>
    <row r="9320" s="1" customFormat="1" customHeight="1" spans="1:6">
      <c r="A9320" s="9" t="str">
        <f>"20070831125"</f>
        <v>20070831125</v>
      </c>
      <c r="B9320" s="10">
        <v>0</v>
      </c>
      <c r="C9320" s="9"/>
      <c r="D9320" s="9">
        <f t="shared" si="145"/>
        <v>0</v>
      </c>
      <c r="E9320" s="11"/>
      <c r="F9320" s="9" t="s">
        <v>7</v>
      </c>
    </row>
    <row r="9321" s="1" customFormat="1" customHeight="1" spans="1:6">
      <c r="A9321" s="9" t="str">
        <f>"20120831126"</f>
        <v>20120831126</v>
      </c>
      <c r="B9321" s="10">
        <v>52.98</v>
      </c>
      <c r="C9321" s="9"/>
      <c r="D9321" s="9">
        <f t="shared" si="145"/>
        <v>52.98</v>
      </c>
      <c r="E9321" s="11"/>
      <c r="F9321" s="9"/>
    </row>
    <row r="9322" s="1" customFormat="1" customHeight="1" spans="1:6">
      <c r="A9322" s="9" t="str">
        <f>"20190831127"</f>
        <v>20190831127</v>
      </c>
      <c r="B9322" s="10">
        <v>54.39</v>
      </c>
      <c r="C9322" s="9"/>
      <c r="D9322" s="9">
        <f t="shared" si="145"/>
        <v>54.39</v>
      </c>
      <c r="E9322" s="11"/>
      <c r="F9322" s="9"/>
    </row>
    <row r="9323" s="1" customFormat="1" customHeight="1" spans="1:6">
      <c r="A9323" s="9" t="str">
        <f>"20200831128"</f>
        <v>20200831128</v>
      </c>
      <c r="B9323" s="10">
        <v>47.93</v>
      </c>
      <c r="C9323" s="9"/>
      <c r="D9323" s="9">
        <f t="shared" si="145"/>
        <v>47.93</v>
      </c>
      <c r="E9323" s="11"/>
      <c r="F9323" s="9"/>
    </row>
    <row r="9324" s="1" customFormat="1" customHeight="1" spans="1:6">
      <c r="A9324" s="9" t="str">
        <f>"20220831129"</f>
        <v>20220831129</v>
      </c>
      <c r="B9324" s="10">
        <v>43.24</v>
      </c>
      <c r="C9324" s="9"/>
      <c r="D9324" s="9">
        <f t="shared" si="145"/>
        <v>43.24</v>
      </c>
      <c r="E9324" s="11"/>
      <c r="F9324" s="9"/>
    </row>
    <row r="9325" s="1" customFormat="1" customHeight="1" spans="1:6">
      <c r="A9325" s="9" t="str">
        <f>"20020831130"</f>
        <v>20020831130</v>
      </c>
      <c r="B9325" s="10">
        <v>0</v>
      </c>
      <c r="C9325" s="9"/>
      <c r="D9325" s="9">
        <f t="shared" si="145"/>
        <v>0</v>
      </c>
      <c r="E9325" s="11"/>
      <c r="F9325" s="9" t="s">
        <v>7</v>
      </c>
    </row>
    <row r="9326" s="1" customFormat="1" customHeight="1" spans="1:6">
      <c r="A9326" s="9" t="str">
        <f>"20190831201"</f>
        <v>20190831201</v>
      </c>
      <c r="B9326" s="10">
        <v>55.16</v>
      </c>
      <c r="C9326" s="9"/>
      <c r="D9326" s="9">
        <f t="shared" si="145"/>
        <v>55.16</v>
      </c>
      <c r="E9326" s="11"/>
      <c r="F9326" s="9"/>
    </row>
    <row r="9327" s="1" customFormat="1" customHeight="1" spans="1:6">
      <c r="A9327" s="9" t="str">
        <f>"20190831202"</f>
        <v>20190831202</v>
      </c>
      <c r="B9327" s="10">
        <v>36.33</v>
      </c>
      <c r="C9327" s="9"/>
      <c r="D9327" s="9">
        <f t="shared" si="145"/>
        <v>36.33</v>
      </c>
      <c r="E9327" s="11"/>
      <c r="F9327" s="9"/>
    </row>
    <row r="9328" s="1" customFormat="1" customHeight="1" spans="1:6">
      <c r="A9328" s="9" t="str">
        <f>"20100831203"</f>
        <v>20100831203</v>
      </c>
      <c r="B9328" s="10">
        <v>0</v>
      </c>
      <c r="C9328" s="9"/>
      <c r="D9328" s="9">
        <f t="shared" si="145"/>
        <v>0</v>
      </c>
      <c r="E9328" s="11"/>
      <c r="F9328" s="9" t="s">
        <v>7</v>
      </c>
    </row>
    <row r="9329" s="1" customFormat="1" customHeight="1" spans="1:6">
      <c r="A9329" s="9" t="str">
        <f>"20190831204"</f>
        <v>20190831204</v>
      </c>
      <c r="B9329" s="10">
        <v>49.22</v>
      </c>
      <c r="C9329" s="9"/>
      <c r="D9329" s="9">
        <f t="shared" si="145"/>
        <v>49.22</v>
      </c>
      <c r="E9329" s="11"/>
      <c r="F9329" s="9"/>
    </row>
    <row r="9330" s="1" customFormat="1" customHeight="1" spans="1:6">
      <c r="A9330" s="9" t="str">
        <f>"20020831205"</f>
        <v>20020831205</v>
      </c>
      <c r="B9330" s="10">
        <v>52.77</v>
      </c>
      <c r="C9330" s="9"/>
      <c r="D9330" s="9">
        <f t="shared" si="145"/>
        <v>52.77</v>
      </c>
      <c r="E9330" s="11"/>
      <c r="F9330" s="9"/>
    </row>
    <row r="9331" s="1" customFormat="1" customHeight="1" spans="1:6">
      <c r="A9331" s="9" t="str">
        <f>"20130831206"</f>
        <v>20130831206</v>
      </c>
      <c r="B9331" s="10">
        <v>58.17</v>
      </c>
      <c r="C9331" s="9"/>
      <c r="D9331" s="9">
        <f t="shared" si="145"/>
        <v>58.17</v>
      </c>
      <c r="E9331" s="11"/>
      <c r="F9331" s="9"/>
    </row>
    <row r="9332" s="1" customFormat="1" customHeight="1" spans="1:6">
      <c r="A9332" s="9" t="str">
        <f>"20020831207"</f>
        <v>20020831207</v>
      </c>
      <c r="B9332" s="10">
        <v>61.53</v>
      </c>
      <c r="C9332" s="9"/>
      <c r="D9332" s="9">
        <f t="shared" si="145"/>
        <v>61.53</v>
      </c>
      <c r="E9332" s="11"/>
      <c r="F9332" s="9"/>
    </row>
    <row r="9333" s="1" customFormat="1" customHeight="1" spans="1:6">
      <c r="A9333" s="9" t="str">
        <f>"20020831208"</f>
        <v>20020831208</v>
      </c>
      <c r="B9333" s="10">
        <v>0</v>
      </c>
      <c r="C9333" s="9"/>
      <c r="D9333" s="9">
        <f t="shared" si="145"/>
        <v>0</v>
      </c>
      <c r="E9333" s="11"/>
      <c r="F9333" s="9" t="s">
        <v>7</v>
      </c>
    </row>
    <row r="9334" s="1" customFormat="1" customHeight="1" spans="1:6">
      <c r="A9334" s="9" t="str">
        <f>"20190831209"</f>
        <v>20190831209</v>
      </c>
      <c r="B9334" s="10">
        <v>0</v>
      </c>
      <c r="C9334" s="9"/>
      <c r="D9334" s="9">
        <f t="shared" si="145"/>
        <v>0</v>
      </c>
      <c r="E9334" s="11"/>
      <c r="F9334" s="9" t="s">
        <v>7</v>
      </c>
    </row>
    <row r="9335" s="1" customFormat="1" customHeight="1" spans="1:6">
      <c r="A9335" s="9" t="str">
        <f>"20030831210"</f>
        <v>20030831210</v>
      </c>
      <c r="B9335" s="10">
        <v>53.62</v>
      </c>
      <c r="C9335" s="9"/>
      <c r="D9335" s="9">
        <f t="shared" si="145"/>
        <v>53.62</v>
      </c>
      <c r="E9335" s="11"/>
      <c r="F9335" s="9"/>
    </row>
    <row r="9336" s="1" customFormat="1" customHeight="1" spans="1:6">
      <c r="A9336" s="9" t="str">
        <f>"20030831211"</f>
        <v>20030831211</v>
      </c>
      <c r="B9336" s="10">
        <v>55.48</v>
      </c>
      <c r="C9336" s="9"/>
      <c r="D9336" s="9">
        <f t="shared" si="145"/>
        <v>55.48</v>
      </c>
      <c r="E9336" s="11"/>
      <c r="F9336" s="9"/>
    </row>
    <row r="9337" s="1" customFormat="1" customHeight="1" spans="1:6">
      <c r="A9337" s="9" t="str">
        <f>"20030831212"</f>
        <v>20030831212</v>
      </c>
      <c r="B9337" s="10">
        <v>39.38</v>
      </c>
      <c r="C9337" s="9"/>
      <c r="D9337" s="9">
        <f t="shared" si="145"/>
        <v>39.38</v>
      </c>
      <c r="E9337" s="11"/>
      <c r="F9337" s="9"/>
    </row>
    <row r="9338" s="1" customFormat="1" customHeight="1" spans="1:6">
      <c r="A9338" s="9" t="str">
        <f>"20100831213"</f>
        <v>20100831213</v>
      </c>
      <c r="B9338" s="10">
        <v>58.86</v>
      </c>
      <c r="C9338" s="9"/>
      <c r="D9338" s="9">
        <f t="shared" si="145"/>
        <v>58.86</v>
      </c>
      <c r="E9338" s="11"/>
      <c r="F9338" s="9"/>
    </row>
    <row r="9339" s="1" customFormat="1" customHeight="1" spans="1:6">
      <c r="A9339" s="9" t="str">
        <f>"20070831214"</f>
        <v>20070831214</v>
      </c>
      <c r="B9339" s="10">
        <v>45.01</v>
      </c>
      <c r="C9339" s="9"/>
      <c r="D9339" s="9">
        <f t="shared" si="145"/>
        <v>45.01</v>
      </c>
      <c r="E9339" s="11"/>
      <c r="F9339" s="9"/>
    </row>
    <row r="9340" s="1" customFormat="1" customHeight="1" spans="1:6">
      <c r="A9340" s="9" t="str">
        <f>"20220831215"</f>
        <v>20220831215</v>
      </c>
      <c r="B9340" s="10">
        <v>52.39</v>
      </c>
      <c r="C9340" s="9"/>
      <c r="D9340" s="9">
        <f t="shared" si="145"/>
        <v>52.39</v>
      </c>
      <c r="E9340" s="11"/>
      <c r="F9340" s="9"/>
    </row>
    <row r="9341" s="1" customFormat="1" customHeight="1" spans="1:6">
      <c r="A9341" s="9" t="str">
        <f>"20020831216"</f>
        <v>20020831216</v>
      </c>
      <c r="B9341" s="10">
        <v>0</v>
      </c>
      <c r="C9341" s="9"/>
      <c r="D9341" s="9">
        <f t="shared" si="145"/>
        <v>0</v>
      </c>
      <c r="E9341" s="11"/>
      <c r="F9341" s="9" t="s">
        <v>7</v>
      </c>
    </row>
    <row r="9342" s="1" customFormat="1" customHeight="1" spans="1:6">
      <c r="A9342" s="9" t="str">
        <f>"20240831217"</f>
        <v>20240831217</v>
      </c>
      <c r="B9342" s="10">
        <v>0</v>
      </c>
      <c r="C9342" s="9"/>
      <c r="D9342" s="9">
        <f t="shared" si="145"/>
        <v>0</v>
      </c>
      <c r="E9342" s="11"/>
      <c r="F9342" s="9" t="s">
        <v>7</v>
      </c>
    </row>
    <row r="9343" s="1" customFormat="1" customHeight="1" spans="1:6">
      <c r="A9343" s="9" t="str">
        <f>"20190831218"</f>
        <v>20190831218</v>
      </c>
      <c r="B9343" s="10">
        <v>0</v>
      </c>
      <c r="C9343" s="9"/>
      <c r="D9343" s="9">
        <f t="shared" si="145"/>
        <v>0</v>
      </c>
      <c r="E9343" s="11"/>
      <c r="F9343" s="9" t="s">
        <v>7</v>
      </c>
    </row>
    <row r="9344" s="1" customFormat="1" customHeight="1" spans="1:6">
      <c r="A9344" s="9" t="str">
        <f>"20190831219"</f>
        <v>20190831219</v>
      </c>
      <c r="B9344" s="10">
        <v>51.96</v>
      </c>
      <c r="C9344" s="9"/>
      <c r="D9344" s="9">
        <f t="shared" si="145"/>
        <v>51.96</v>
      </c>
      <c r="E9344" s="11"/>
      <c r="F9344" s="9"/>
    </row>
    <row r="9345" s="1" customFormat="1" customHeight="1" spans="1:6">
      <c r="A9345" s="9" t="str">
        <f>"10250831220"</f>
        <v>10250831220</v>
      </c>
      <c r="B9345" s="10">
        <v>42.01</v>
      </c>
      <c r="C9345" s="9"/>
      <c r="D9345" s="9">
        <f t="shared" si="145"/>
        <v>42.01</v>
      </c>
      <c r="E9345" s="11"/>
      <c r="F9345" s="9"/>
    </row>
    <row r="9346" s="1" customFormat="1" customHeight="1" spans="1:6">
      <c r="A9346" s="9" t="str">
        <f>"20190831221"</f>
        <v>20190831221</v>
      </c>
      <c r="B9346" s="10">
        <v>46.76</v>
      </c>
      <c r="C9346" s="9"/>
      <c r="D9346" s="9">
        <f t="shared" si="145"/>
        <v>46.76</v>
      </c>
      <c r="E9346" s="11"/>
      <c r="F9346" s="9"/>
    </row>
    <row r="9347" s="1" customFormat="1" customHeight="1" spans="1:6">
      <c r="A9347" s="9" t="str">
        <f>"20190831222"</f>
        <v>20190831222</v>
      </c>
      <c r="B9347" s="10">
        <v>0</v>
      </c>
      <c r="C9347" s="9"/>
      <c r="D9347" s="9">
        <f t="shared" ref="D9347:D9410" si="146">SUM(B9347:C9347)</f>
        <v>0</v>
      </c>
      <c r="E9347" s="11"/>
      <c r="F9347" s="9" t="s">
        <v>7</v>
      </c>
    </row>
    <row r="9348" s="1" customFormat="1" customHeight="1" spans="1:6">
      <c r="A9348" s="9" t="str">
        <f>"20190831223"</f>
        <v>20190831223</v>
      </c>
      <c r="B9348" s="10">
        <v>0</v>
      </c>
      <c r="C9348" s="9"/>
      <c r="D9348" s="9">
        <f t="shared" si="146"/>
        <v>0</v>
      </c>
      <c r="E9348" s="11"/>
      <c r="F9348" s="9" t="s">
        <v>7</v>
      </c>
    </row>
    <row r="9349" s="1" customFormat="1" customHeight="1" spans="1:6">
      <c r="A9349" s="9" t="str">
        <f>"20190831224"</f>
        <v>20190831224</v>
      </c>
      <c r="B9349" s="10">
        <v>52.6</v>
      </c>
      <c r="C9349" s="9"/>
      <c r="D9349" s="9">
        <f t="shared" si="146"/>
        <v>52.6</v>
      </c>
      <c r="E9349" s="11"/>
      <c r="F9349" s="9"/>
    </row>
    <row r="9350" s="1" customFormat="1" customHeight="1" spans="1:6">
      <c r="A9350" s="9" t="str">
        <f>"20190831225"</f>
        <v>20190831225</v>
      </c>
      <c r="B9350" s="10">
        <v>44.55</v>
      </c>
      <c r="C9350" s="9"/>
      <c r="D9350" s="9">
        <f t="shared" si="146"/>
        <v>44.55</v>
      </c>
      <c r="E9350" s="11"/>
      <c r="F9350" s="9"/>
    </row>
    <row r="9351" s="1" customFormat="1" customHeight="1" spans="1:6">
      <c r="A9351" s="9" t="str">
        <f>"20190831226"</f>
        <v>20190831226</v>
      </c>
      <c r="B9351" s="10">
        <v>48.6</v>
      </c>
      <c r="C9351" s="9">
        <v>10</v>
      </c>
      <c r="D9351" s="9">
        <f t="shared" si="146"/>
        <v>58.6</v>
      </c>
      <c r="E9351" s="12" t="s">
        <v>8</v>
      </c>
      <c r="F9351" s="9"/>
    </row>
    <row r="9352" s="1" customFormat="1" customHeight="1" spans="1:6">
      <c r="A9352" s="9" t="str">
        <f>"20190831227"</f>
        <v>20190831227</v>
      </c>
      <c r="B9352" s="10">
        <v>0</v>
      </c>
      <c r="C9352" s="9"/>
      <c r="D9352" s="9">
        <f t="shared" si="146"/>
        <v>0</v>
      </c>
      <c r="E9352" s="11"/>
      <c r="F9352" s="9" t="s">
        <v>7</v>
      </c>
    </row>
    <row r="9353" s="1" customFormat="1" customHeight="1" spans="1:6">
      <c r="A9353" s="9" t="str">
        <f>"20190831228"</f>
        <v>20190831228</v>
      </c>
      <c r="B9353" s="10">
        <v>0</v>
      </c>
      <c r="C9353" s="9"/>
      <c r="D9353" s="9">
        <f t="shared" si="146"/>
        <v>0</v>
      </c>
      <c r="E9353" s="11"/>
      <c r="F9353" s="9" t="s">
        <v>7</v>
      </c>
    </row>
    <row r="9354" s="1" customFormat="1" customHeight="1" spans="1:6">
      <c r="A9354" s="9" t="str">
        <f>"20070831229"</f>
        <v>20070831229</v>
      </c>
      <c r="B9354" s="10">
        <v>0</v>
      </c>
      <c r="C9354" s="9"/>
      <c r="D9354" s="9">
        <f t="shared" si="146"/>
        <v>0</v>
      </c>
      <c r="E9354" s="11"/>
      <c r="F9354" s="9" t="s">
        <v>7</v>
      </c>
    </row>
    <row r="9355" s="1" customFormat="1" customHeight="1" spans="1:6">
      <c r="A9355" s="9" t="str">
        <f>"20020831230"</f>
        <v>20020831230</v>
      </c>
      <c r="B9355" s="10">
        <v>61.09</v>
      </c>
      <c r="C9355" s="9"/>
      <c r="D9355" s="9">
        <f t="shared" si="146"/>
        <v>61.09</v>
      </c>
      <c r="E9355" s="11"/>
      <c r="F9355" s="9"/>
    </row>
    <row r="9356" s="1" customFormat="1" customHeight="1" spans="1:6">
      <c r="A9356" s="9" t="str">
        <f>"20190831301"</f>
        <v>20190831301</v>
      </c>
      <c r="B9356" s="10">
        <v>36.67</v>
      </c>
      <c r="C9356" s="9"/>
      <c r="D9356" s="9">
        <f t="shared" si="146"/>
        <v>36.67</v>
      </c>
      <c r="E9356" s="11"/>
      <c r="F9356" s="9"/>
    </row>
    <row r="9357" s="1" customFormat="1" customHeight="1" spans="1:6">
      <c r="A9357" s="9" t="str">
        <f>"20190831302"</f>
        <v>20190831302</v>
      </c>
      <c r="B9357" s="10">
        <v>0</v>
      </c>
      <c r="C9357" s="9"/>
      <c r="D9357" s="9">
        <f t="shared" si="146"/>
        <v>0</v>
      </c>
      <c r="E9357" s="11"/>
      <c r="F9357" s="9" t="s">
        <v>7</v>
      </c>
    </row>
    <row r="9358" s="1" customFormat="1" customHeight="1" spans="1:6">
      <c r="A9358" s="9" t="str">
        <f>"20200831303"</f>
        <v>20200831303</v>
      </c>
      <c r="B9358" s="10">
        <v>41.36</v>
      </c>
      <c r="C9358" s="9"/>
      <c r="D9358" s="9">
        <f t="shared" si="146"/>
        <v>41.36</v>
      </c>
      <c r="E9358" s="11"/>
      <c r="F9358" s="9"/>
    </row>
    <row r="9359" s="1" customFormat="1" customHeight="1" spans="1:6">
      <c r="A9359" s="9" t="str">
        <f>"20070831304"</f>
        <v>20070831304</v>
      </c>
      <c r="B9359" s="10">
        <v>53.42</v>
      </c>
      <c r="C9359" s="9"/>
      <c r="D9359" s="9">
        <f t="shared" si="146"/>
        <v>53.42</v>
      </c>
      <c r="E9359" s="11"/>
      <c r="F9359" s="9"/>
    </row>
    <row r="9360" s="1" customFormat="1" customHeight="1" spans="1:6">
      <c r="A9360" s="9" t="str">
        <f>"20190831305"</f>
        <v>20190831305</v>
      </c>
      <c r="B9360" s="10">
        <v>45.43</v>
      </c>
      <c r="C9360" s="9"/>
      <c r="D9360" s="9">
        <f t="shared" si="146"/>
        <v>45.43</v>
      </c>
      <c r="E9360" s="11"/>
      <c r="F9360" s="9"/>
    </row>
    <row r="9361" s="1" customFormat="1" customHeight="1" spans="1:6">
      <c r="A9361" s="9" t="str">
        <f>"20190831306"</f>
        <v>20190831306</v>
      </c>
      <c r="B9361" s="10">
        <v>0</v>
      </c>
      <c r="C9361" s="9"/>
      <c r="D9361" s="9">
        <f t="shared" si="146"/>
        <v>0</v>
      </c>
      <c r="E9361" s="11"/>
      <c r="F9361" s="9" t="s">
        <v>7</v>
      </c>
    </row>
    <row r="9362" s="1" customFormat="1" customHeight="1" spans="1:6">
      <c r="A9362" s="9" t="str">
        <f>"20030831307"</f>
        <v>20030831307</v>
      </c>
      <c r="B9362" s="10">
        <v>51.41</v>
      </c>
      <c r="C9362" s="9"/>
      <c r="D9362" s="9">
        <f t="shared" si="146"/>
        <v>51.41</v>
      </c>
      <c r="E9362" s="11"/>
      <c r="F9362" s="9"/>
    </row>
    <row r="9363" s="1" customFormat="1" customHeight="1" spans="1:6">
      <c r="A9363" s="9" t="str">
        <f>"20030831308"</f>
        <v>20030831308</v>
      </c>
      <c r="B9363" s="10">
        <v>47.62</v>
      </c>
      <c r="C9363" s="9"/>
      <c r="D9363" s="9">
        <f t="shared" si="146"/>
        <v>47.62</v>
      </c>
      <c r="E9363" s="11"/>
      <c r="F9363" s="9"/>
    </row>
    <row r="9364" s="1" customFormat="1" customHeight="1" spans="1:6">
      <c r="A9364" s="9" t="str">
        <f>"20190831309"</f>
        <v>20190831309</v>
      </c>
      <c r="B9364" s="10">
        <v>57.25</v>
      </c>
      <c r="C9364" s="9"/>
      <c r="D9364" s="9">
        <f t="shared" si="146"/>
        <v>57.25</v>
      </c>
      <c r="E9364" s="11"/>
      <c r="F9364" s="9"/>
    </row>
    <row r="9365" s="1" customFormat="1" customHeight="1" spans="1:6">
      <c r="A9365" s="9" t="str">
        <f>"20210831310"</f>
        <v>20210831310</v>
      </c>
      <c r="B9365" s="10">
        <v>60.36</v>
      </c>
      <c r="C9365" s="9"/>
      <c r="D9365" s="9">
        <f t="shared" si="146"/>
        <v>60.36</v>
      </c>
      <c r="E9365" s="11"/>
      <c r="F9365" s="9"/>
    </row>
    <row r="9366" s="1" customFormat="1" customHeight="1" spans="1:6">
      <c r="A9366" s="9" t="str">
        <f>"20030831311"</f>
        <v>20030831311</v>
      </c>
      <c r="B9366" s="10">
        <v>45.33</v>
      </c>
      <c r="C9366" s="9"/>
      <c r="D9366" s="9">
        <f t="shared" si="146"/>
        <v>45.33</v>
      </c>
      <c r="E9366" s="11"/>
      <c r="F9366" s="9"/>
    </row>
    <row r="9367" s="1" customFormat="1" customHeight="1" spans="1:6">
      <c r="A9367" s="9" t="str">
        <f>"20190831312"</f>
        <v>20190831312</v>
      </c>
      <c r="B9367" s="10">
        <v>0</v>
      </c>
      <c r="C9367" s="9"/>
      <c r="D9367" s="9">
        <f t="shared" si="146"/>
        <v>0</v>
      </c>
      <c r="E9367" s="11"/>
      <c r="F9367" s="9" t="s">
        <v>7</v>
      </c>
    </row>
    <row r="9368" s="1" customFormat="1" customHeight="1" spans="1:6">
      <c r="A9368" s="9" t="str">
        <f>"20220831313"</f>
        <v>20220831313</v>
      </c>
      <c r="B9368" s="10">
        <v>55.27</v>
      </c>
      <c r="C9368" s="9"/>
      <c r="D9368" s="9">
        <f t="shared" si="146"/>
        <v>55.27</v>
      </c>
      <c r="E9368" s="11"/>
      <c r="F9368" s="9"/>
    </row>
    <row r="9369" s="1" customFormat="1" customHeight="1" spans="1:6">
      <c r="A9369" s="9" t="str">
        <f>"20190831314"</f>
        <v>20190831314</v>
      </c>
      <c r="B9369" s="10">
        <v>32.96</v>
      </c>
      <c r="C9369" s="9"/>
      <c r="D9369" s="9">
        <f t="shared" si="146"/>
        <v>32.96</v>
      </c>
      <c r="E9369" s="11"/>
      <c r="F9369" s="9"/>
    </row>
    <row r="9370" s="1" customFormat="1" customHeight="1" spans="1:6">
      <c r="A9370" s="9" t="str">
        <f>"20020831315"</f>
        <v>20020831315</v>
      </c>
      <c r="B9370" s="10">
        <v>58.03</v>
      </c>
      <c r="C9370" s="9"/>
      <c r="D9370" s="9">
        <f t="shared" si="146"/>
        <v>58.03</v>
      </c>
      <c r="E9370" s="11"/>
      <c r="F9370" s="9"/>
    </row>
    <row r="9371" s="1" customFormat="1" customHeight="1" spans="1:6">
      <c r="A9371" s="9" t="str">
        <f>"20020831316"</f>
        <v>20020831316</v>
      </c>
      <c r="B9371" s="10">
        <v>51.95</v>
      </c>
      <c r="C9371" s="9"/>
      <c r="D9371" s="9">
        <f t="shared" si="146"/>
        <v>51.95</v>
      </c>
      <c r="E9371" s="11"/>
      <c r="F9371" s="9"/>
    </row>
    <row r="9372" s="1" customFormat="1" customHeight="1" spans="1:6">
      <c r="A9372" s="9" t="str">
        <f>"20020831317"</f>
        <v>20020831317</v>
      </c>
      <c r="B9372" s="10">
        <v>57.71</v>
      </c>
      <c r="C9372" s="9"/>
      <c r="D9372" s="9">
        <f t="shared" si="146"/>
        <v>57.71</v>
      </c>
      <c r="E9372" s="11"/>
      <c r="F9372" s="9"/>
    </row>
    <row r="9373" s="1" customFormat="1" customHeight="1" spans="1:6">
      <c r="A9373" s="9" t="str">
        <f>"20190831318"</f>
        <v>20190831318</v>
      </c>
      <c r="B9373" s="10">
        <v>52.96</v>
      </c>
      <c r="C9373" s="9"/>
      <c r="D9373" s="9">
        <f t="shared" si="146"/>
        <v>52.96</v>
      </c>
      <c r="E9373" s="11"/>
      <c r="F9373" s="9"/>
    </row>
    <row r="9374" s="1" customFormat="1" customHeight="1" spans="1:6">
      <c r="A9374" s="9" t="str">
        <f>"20130831319"</f>
        <v>20130831319</v>
      </c>
      <c r="B9374" s="10">
        <v>59.11</v>
      </c>
      <c r="C9374" s="9"/>
      <c r="D9374" s="9">
        <f t="shared" si="146"/>
        <v>59.11</v>
      </c>
      <c r="E9374" s="11"/>
      <c r="F9374" s="9"/>
    </row>
    <row r="9375" s="1" customFormat="1" customHeight="1" spans="1:6">
      <c r="A9375" s="9" t="str">
        <f>"20030831320"</f>
        <v>20030831320</v>
      </c>
      <c r="B9375" s="10">
        <v>57.5</v>
      </c>
      <c r="C9375" s="9"/>
      <c r="D9375" s="9">
        <f t="shared" si="146"/>
        <v>57.5</v>
      </c>
      <c r="E9375" s="11"/>
      <c r="F9375" s="9"/>
    </row>
    <row r="9376" s="1" customFormat="1" customHeight="1" spans="1:6">
      <c r="A9376" s="9" t="str">
        <f>"20030831321"</f>
        <v>20030831321</v>
      </c>
      <c r="B9376" s="10">
        <v>0</v>
      </c>
      <c r="C9376" s="9"/>
      <c r="D9376" s="9">
        <f t="shared" si="146"/>
        <v>0</v>
      </c>
      <c r="E9376" s="11"/>
      <c r="F9376" s="9" t="s">
        <v>7</v>
      </c>
    </row>
    <row r="9377" s="1" customFormat="1" customHeight="1" spans="1:6">
      <c r="A9377" s="9" t="str">
        <f>"20130831322"</f>
        <v>20130831322</v>
      </c>
      <c r="B9377" s="10">
        <v>52.69</v>
      </c>
      <c r="C9377" s="9"/>
      <c r="D9377" s="9">
        <f t="shared" si="146"/>
        <v>52.69</v>
      </c>
      <c r="E9377" s="11"/>
      <c r="F9377" s="9"/>
    </row>
    <row r="9378" s="1" customFormat="1" customHeight="1" spans="1:6">
      <c r="A9378" s="9" t="str">
        <f>"20070831323"</f>
        <v>20070831323</v>
      </c>
      <c r="B9378" s="10">
        <v>0</v>
      </c>
      <c r="C9378" s="9"/>
      <c r="D9378" s="9">
        <f t="shared" si="146"/>
        <v>0</v>
      </c>
      <c r="E9378" s="11"/>
      <c r="F9378" s="9" t="s">
        <v>7</v>
      </c>
    </row>
    <row r="9379" s="1" customFormat="1" customHeight="1" spans="1:6">
      <c r="A9379" s="9" t="str">
        <f>"20190831324"</f>
        <v>20190831324</v>
      </c>
      <c r="B9379" s="10">
        <v>0</v>
      </c>
      <c r="C9379" s="9"/>
      <c r="D9379" s="9">
        <f t="shared" si="146"/>
        <v>0</v>
      </c>
      <c r="E9379" s="11"/>
      <c r="F9379" s="9" t="s">
        <v>7</v>
      </c>
    </row>
    <row r="9380" s="1" customFormat="1" customHeight="1" spans="1:6">
      <c r="A9380" s="9" t="str">
        <f>"20240831325"</f>
        <v>20240831325</v>
      </c>
      <c r="B9380" s="10">
        <v>69.31</v>
      </c>
      <c r="C9380" s="9"/>
      <c r="D9380" s="9">
        <f t="shared" si="146"/>
        <v>69.31</v>
      </c>
      <c r="E9380" s="11"/>
      <c r="F9380" s="9"/>
    </row>
    <row r="9381" s="1" customFormat="1" customHeight="1" spans="1:6">
      <c r="A9381" s="9" t="str">
        <f>"20200831326"</f>
        <v>20200831326</v>
      </c>
      <c r="B9381" s="10">
        <v>0</v>
      </c>
      <c r="C9381" s="9"/>
      <c r="D9381" s="9">
        <f t="shared" si="146"/>
        <v>0</v>
      </c>
      <c r="E9381" s="11"/>
      <c r="F9381" s="9" t="s">
        <v>7</v>
      </c>
    </row>
    <row r="9382" s="1" customFormat="1" customHeight="1" spans="1:6">
      <c r="A9382" s="9" t="str">
        <f>"20020831327"</f>
        <v>20020831327</v>
      </c>
      <c r="B9382" s="10">
        <v>51.58</v>
      </c>
      <c r="C9382" s="9"/>
      <c r="D9382" s="9">
        <f t="shared" si="146"/>
        <v>51.58</v>
      </c>
      <c r="E9382" s="11"/>
      <c r="F9382" s="9"/>
    </row>
    <row r="9383" s="1" customFormat="1" customHeight="1" spans="1:6">
      <c r="A9383" s="9" t="str">
        <f>"20200831328"</f>
        <v>20200831328</v>
      </c>
      <c r="B9383" s="10">
        <v>36.25</v>
      </c>
      <c r="C9383" s="9"/>
      <c r="D9383" s="9">
        <f t="shared" si="146"/>
        <v>36.25</v>
      </c>
      <c r="E9383" s="11"/>
      <c r="F9383" s="9"/>
    </row>
    <row r="9384" s="1" customFormat="1" customHeight="1" spans="1:6">
      <c r="A9384" s="9" t="str">
        <f>"20020831329"</f>
        <v>20020831329</v>
      </c>
      <c r="B9384" s="10">
        <v>47.3</v>
      </c>
      <c r="C9384" s="9"/>
      <c r="D9384" s="9">
        <f t="shared" si="146"/>
        <v>47.3</v>
      </c>
      <c r="E9384" s="11"/>
      <c r="F9384" s="9"/>
    </row>
    <row r="9385" s="1" customFormat="1" customHeight="1" spans="1:6">
      <c r="A9385" s="9" t="str">
        <f>"20020831330"</f>
        <v>20020831330</v>
      </c>
      <c r="B9385" s="10">
        <v>37.44</v>
      </c>
      <c r="C9385" s="9"/>
      <c r="D9385" s="9">
        <f t="shared" si="146"/>
        <v>37.44</v>
      </c>
      <c r="E9385" s="11"/>
      <c r="F9385" s="9"/>
    </row>
    <row r="9386" s="1" customFormat="1" customHeight="1" spans="1:6">
      <c r="A9386" s="9" t="str">
        <f>"20210831401"</f>
        <v>20210831401</v>
      </c>
      <c r="B9386" s="10">
        <v>50.6</v>
      </c>
      <c r="C9386" s="9"/>
      <c r="D9386" s="9">
        <f t="shared" si="146"/>
        <v>50.6</v>
      </c>
      <c r="E9386" s="11"/>
      <c r="F9386" s="9"/>
    </row>
    <row r="9387" s="1" customFormat="1" customHeight="1" spans="1:6">
      <c r="A9387" s="9" t="str">
        <f>"20200831402"</f>
        <v>20200831402</v>
      </c>
      <c r="B9387" s="10">
        <v>0</v>
      </c>
      <c r="C9387" s="9"/>
      <c r="D9387" s="9">
        <f t="shared" si="146"/>
        <v>0</v>
      </c>
      <c r="E9387" s="11"/>
      <c r="F9387" s="9" t="s">
        <v>7</v>
      </c>
    </row>
    <row r="9388" s="1" customFormat="1" customHeight="1" spans="1:6">
      <c r="A9388" s="9" t="str">
        <f>"20250831403"</f>
        <v>20250831403</v>
      </c>
      <c r="B9388" s="10">
        <v>64.4</v>
      </c>
      <c r="C9388" s="9"/>
      <c r="D9388" s="9">
        <f t="shared" si="146"/>
        <v>64.4</v>
      </c>
      <c r="E9388" s="11"/>
      <c r="F9388" s="9"/>
    </row>
    <row r="9389" s="1" customFormat="1" customHeight="1" spans="1:6">
      <c r="A9389" s="9" t="str">
        <f>"20210831404"</f>
        <v>20210831404</v>
      </c>
      <c r="B9389" s="10">
        <v>60.57</v>
      </c>
      <c r="C9389" s="9"/>
      <c r="D9389" s="9">
        <f t="shared" si="146"/>
        <v>60.57</v>
      </c>
      <c r="E9389" s="11"/>
      <c r="F9389" s="9"/>
    </row>
    <row r="9390" s="1" customFormat="1" customHeight="1" spans="1:6">
      <c r="A9390" s="9" t="str">
        <f>"20030831405"</f>
        <v>20030831405</v>
      </c>
      <c r="B9390" s="10">
        <v>0</v>
      </c>
      <c r="C9390" s="9"/>
      <c r="D9390" s="9">
        <f t="shared" si="146"/>
        <v>0</v>
      </c>
      <c r="E9390" s="11"/>
      <c r="F9390" s="9" t="s">
        <v>7</v>
      </c>
    </row>
    <row r="9391" s="1" customFormat="1" customHeight="1" spans="1:6">
      <c r="A9391" s="9" t="str">
        <f>"20210831406"</f>
        <v>20210831406</v>
      </c>
      <c r="B9391" s="10">
        <v>58.32</v>
      </c>
      <c r="C9391" s="9"/>
      <c r="D9391" s="9">
        <f t="shared" si="146"/>
        <v>58.32</v>
      </c>
      <c r="E9391" s="11"/>
      <c r="F9391" s="9"/>
    </row>
    <row r="9392" s="1" customFormat="1" customHeight="1" spans="1:6">
      <c r="A9392" s="9" t="str">
        <f>"20190831407"</f>
        <v>20190831407</v>
      </c>
      <c r="B9392" s="10">
        <v>47.16</v>
      </c>
      <c r="C9392" s="9"/>
      <c r="D9392" s="9">
        <f t="shared" si="146"/>
        <v>47.16</v>
      </c>
      <c r="E9392" s="11"/>
      <c r="F9392" s="9"/>
    </row>
    <row r="9393" s="1" customFormat="1" customHeight="1" spans="1:6">
      <c r="A9393" s="9" t="str">
        <f>"20070831408"</f>
        <v>20070831408</v>
      </c>
      <c r="B9393" s="10">
        <v>45.59</v>
      </c>
      <c r="C9393" s="9"/>
      <c r="D9393" s="9">
        <f t="shared" si="146"/>
        <v>45.59</v>
      </c>
      <c r="E9393" s="11"/>
      <c r="F9393" s="9"/>
    </row>
    <row r="9394" s="1" customFormat="1" customHeight="1" spans="1:6">
      <c r="A9394" s="9" t="str">
        <f>"20020831409"</f>
        <v>20020831409</v>
      </c>
      <c r="B9394" s="10">
        <v>45.49</v>
      </c>
      <c r="C9394" s="9"/>
      <c r="D9394" s="9">
        <f t="shared" si="146"/>
        <v>45.49</v>
      </c>
      <c r="E9394" s="11"/>
      <c r="F9394" s="9"/>
    </row>
    <row r="9395" s="1" customFormat="1" customHeight="1" spans="1:6">
      <c r="A9395" s="9" t="str">
        <f>"20190831410"</f>
        <v>20190831410</v>
      </c>
      <c r="B9395" s="10">
        <v>41.4</v>
      </c>
      <c r="C9395" s="9"/>
      <c r="D9395" s="9">
        <f t="shared" si="146"/>
        <v>41.4</v>
      </c>
      <c r="E9395" s="11"/>
      <c r="F9395" s="9"/>
    </row>
    <row r="9396" s="1" customFormat="1" customHeight="1" spans="1:6">
      <c r="A9396" s="9" t="str">
        <f>"20200831411"</f>
        <v>20200831411</v>
      </c>
      <c r="B9396" s="10">
        <v>0</v>
      </c>
      <c r="C9396" s="9"/>
      <c r="D9396" s="9">
        <f t="shared" si="146"/>
        <v>0</v>
      </c>
      <c r="E9396" s="11"/>
      <c r="F9396" s="9" t="s">
        <v>7</v>
      </c>
    </row>
    <row r="9397" s="1" customFormat="1" customHeight="1" spans="1:6">
      <c r="A9397" s="9" t="str">
        <f>"20100831412"</f>
        <v>20100831412</v>
      </c>
      <c r="B9397" s="10">
        <v>48.51</v>
      </c>
      <c r="C9397" s="9"/>
      <c r="D9397" s="9">
        <f t="shared" si="146"/>
        <v>48.51</v>
      </c>
      <c r="E9397" s="11"/>
      <c r="F9397" s="9"/>
    </row>
    <row r="9398" s="1" customFormat="1" customHeight="1" spans="1:6">
      <c r="A9398" s="9" t="str">
        <f>"20100831413"</f>
        <v>20100831413</v>
      </c>
      <c r="B9398" s="10">
        <v>62.22</v>
      </c>
      <c r="C9398" s="9"/>
      <c r="D9398" s="9">
        <f t="shared" si="146"/>
        <v>62.22</v>
      </c>
      <c r="E9398" s="11"/>
      <c r="F9398" s="9"/>
    </row>
    <row r="9399" s="1" customFormat="1" customHeight="1" spans="1:6">
      <c r="A9399" s="9" t="str">
        <f>"20190831414"</f>
        <v>20190831414</v>
      </c>
      <c r="B9399" s="10">
        <v>54.37</v>
      </c>
      <c r="C9399" s="9"/>
      <c r="D9399" s="9">
        <f t="shared" si="146"/>
        <v>54.37</v>
      </c>
      <c r="E9399" s="11"/>
      <c r="F9399" s="9"/>
    </row>
    <row r="9400" s="1" customFormat="1" customHeight="1" spans="1:6">
      <c r="A9400" s="9" t="str">
        <f>"20190831415"</f>
        <v>20190831415</v>
      </c>
      <c r="B9400" s="10">
        <v>48.76</v>
      </c>
      <c r="C9400" s="9"/>
      <c r="D9400" s="9">
        <f t="shared" si="146"/>
        <v>48.76</v>
      </c>
      <c r="E9400" s="11"/>
      <c r="F9400" s="9"/>
    </row>
    <row r="9401" s="1" customFormat="1" customHeight="1" spans="1:6">
      <c r="A9401" s="9" t="str">
        <f>"20230831416"</f>
        <v>20230831416</v>
      </c>
      <c r="B9401" s="10">
        <v>44.89</v>
      </c>
      <c r="C9401" s="9"/>
      <c r="D9401" s="9">
        <f t="shared" si="146"/>
        <v>44.89</v>
      </c>
      <c r="E9401" s="11"/>
      <c r="F9401" s="9"/>
    </row>
    <row r="9402" s="1" customFormat="1" customHeight="1" spans="1:6">
      <c r="A9402" s="9" t="str">
        <f>"20190831417"</f>
        <v>20190831417</v>
      </c>
      <c r="B9402" s="10">
        <v>0</v>
      </c>
      <c r="C9402" s="9"/>
      <c r="D9402" s="9">
        <f t="shared" si="146"/>
        <v>0</v>
      </c>
      <c r="E9402" s="11"/>
      <c r="F9402" s="9" t="s">
        <v>7</v>
      </c>
    </row>
    <row r="9403" s="1" customFormat="1" customHeight="1" spans="1:6">
      <c r="A9403" s="9" t="str">
        <f>"20100831418"</f>
        <v>20100831418</v>
      </c>
      <c r="B9403" s="10">
        <v>58.32</v>
      </c>
      <c r="C9403" s="9"/>
      <c r="D9403" s="9">
        <f t="shared" si="146"/>
        <v>58.32</v>
      </c>
      <c r="E9403" s="11"/>
      <c r="F9403" s="9"/>
    </row>
    <row r="9404" s="1" customFormat="1" customHeight="1" spans="1:6">
      <c r="A9404" s="9" t="str">
        <f>"20190831419"</f>
        <v>20190831419</v>
      </c>
      <c r="B9404" s="10">
        <v>44.51</v>
      </c>
      <c r="C9404" s="9"/>
      <c r="D9404" s="9">
        <f t="shared" si="146"/>
        <v>44.51</v>
      </c>
      <c r="E9404" s="11"/>
      <c r="F9404" s="9"/>
    </row>
    <row r="9405" s="1" customFormat="1" customHeight="1" spans="1:6">
      <c r="A9405" s="9" t="str">
        <f>"20070831420"</f>
        <v>20070831420</v>
      </c>
      <c r="B9405" s="10">
        <v>39.38</v>
      </c>
      <c r="C9405" s="9"/>
      <c r="D9405" s="9">
        <f t="shared" si="146"/>
        <v>39.38</v>
      </c>
      <c r="E9405" s="11"/>
      <c r="F9405" s="9"/>
    </row>
    <row r="9406" s="1" customFormat="1" customHeight="1" spans="1:6">
      <c r="A9406" s="9" t="str">
        <f>"20200831421"</f>
        <v>20200831421</v>
      </c>
      <c r="B9406" s="10">
        <v>42.03</v>
      </c>
      <c r="C9406" s="9"/>
      <c r="D9406" s="9">
        <f t="shared" si="146"/>
        <v>42.03</v>
      </c>
      <c r="E9406" s="11"/>
      <c r="F9406" s="9"/>
    </row>
    <row r="9407" s="1" customFormat="1" customHeight="1" spans="1:6">
      <c r="A9407" s="9" t="str">
        <f>"20190831422"</f>
        <v>20190831422</v>
      </c>
      <c r="B9407" s="10">
        <v>0</v>
      </c>
      <c r="C9407" s="9"/>
      <c r="D9407" s="9">
        <f t="shared" si="146"/>
        <v>0</v>
      </c>
      <c r="E9407" s="11"/>
      <c r="F9407" s="9" t="s">
        <v>7</v>
      </c>
    </row>
    <row r="9408" s="1" customFormat="1" customHeight="1" spans="1:6">
      <c r="A9408" s="9" t="str">
        <f>"20030831423"</f>
        <v>20030831423</v>
      </c>
      <c r="B9408" s="10">
        <v>37.56</v>
      </c>
      <c r="C9408" s="9"/>
      <c r="D9408" s="9">
        <f t="shared" si="146"/>
        <v>37.56</v>
      </c>
      <c r="E9408" s="11"/>
      <c r="F9408" s="9"/>
    </row>
    <row r="9409" s="1" customFormat="1" customHeight="1" spans="1:6">
      <c r="A9409" s="9" t="str">
        <f>"10250831424"</f>
        <v>10250831424</v>
      </c>
      <c r="B9409" s="10">
        <v>0</v>
      </c>
      <c r="C9409" s="9"/>
      <c r="D9409" s="9">
        <f t="shared" si="146"/>
        <v>0</v>
      </c>
      <c r="E9409" s="11"/>
      <c r="F9409" s="9" t="s">
        <v>7</v>
      </c>
    </row>
    <row r="9410" s="1" customFormat="1" customHeight="1" spans="1:6">
      <c r="A9410" s="9" t="str">
        <f>"20120831425"</f>
        <v>20120831425</v>
      </c>
      <c r="B9410" s="10">
        <v>52.54</v>
      </c>
      <c r="C9410" s="9"/>
      <c r="D9410" s="9">
        <f t="shared" si="146"/>
        <v>52.54</v>
      </c>
      <c r="E9410" s="11"/>
      <c r="F9410" s="9"/>
    </row>
    <row r="9411" s="1" customFormat="1" customHeight="1" spans="1:6">
      <c r="A9411" s="9" t="str">
        <f>"20020831426"</f>
        <v>20020831426</v>
      </c>
      <c r="B9411" s="10">
        <v>39.24</v>
      </c>
      <c r="C9411" s="9"/>
      <c r="D9411" s="9">
        <f t="shared" ref="D9411:D9471" si="147">SUM(B9411:C9411)</f>
        <v>39.24</v>
      </c>
      <c r="E9411" s="11"/>
      <c r="F9411" s="9"/>
    </row>
    <row r="9412" s="1" customFormat="1" customHeight="1" spans="1:6">
      <c r="A9412" s="9" t="str">
        <f>"10250831427"</f>
        <v>10250831427</v>
      </c>
      <c r="B9412" s="10">
        <v>43.78</v>
      </c>
      <c r="C9412" s="9"/>
      <c r="D9412" s="9">
        <f t="shared" si="147"/>
        <v>43.78</v>
      </c>
      <c r="E9412" s="11"/>
      <c r="F9412" s="9"/>
    </row>
    <row r="9413" s="1" customFormat="1" customHeight="1" spans="1:6">
      <c r="A9413" s="9" t="str">
        <f>"20020831428"</f>
        <v>20020831428</v>
      </c>
      <c r="B9413" s="10">
        <v>0</v>
      </c>
      <c r="C9413" s="9"/>
      <c r="D9413" s="9">
        <f t="shared" si="147"/>
        <v>0</v>
      </c>
      <c r="E9413" s="11"/>
      <c r="F9413" s="9" t="s">
        <v>7</v>
      </c>
    </row>
    <row r="9414" s="1" customFormat="1" customHeight="1" spans="1:6">
      <c r="A9414" s="9" t="str">
        <f>"20070831429"</f>
        <v>20070831429</v>
      </c>
      <c r="B9414" s="10">
        <v>0</v>
      </c>
      <c r="C9414" s="9"/>
      <c r="D9414" s="9">
        <f t="shared" si="147"/>
        <v>0</v>
      </c>
      <c r="E9414" s="11"/>
      <c r="F9414" s="9" t="s">
        <v>7</v>
      </c>
    </row>
    <row r="9415" s="1" customFormat="1" customHeight="1" spans="1:6">
      <c r="A9415" s="9" t="str">
        <f>"20030831430"</f>
        <v>20030831430</v>
      </c>
      <c r="B9415" s="10">
        <v>0</v>
      </c>
      <c r="C9415" s="9"/>
      <c r="D9415" s="9">
        <f t="shared" si="147"/>
        <v>0</v>
      </c>
      <c r="E9415" s="11"/>
      <c r="F9415" s="9" t="s">
        <v>7</v>
      </c>
    </row>
    <row r="9416" s="1" customFormat="1" customHeight="1" spans="1:6">
      <c r="A9416" s="9" t="str">
        <f>"20190831501"</f>
        <v>20190831501</v>
      </c>
      <c r="B9416" s="10">
        <v>38.74</v>
      </c>
      <c r="C9416" s="9"/>
      <c r="D9416" s="9">
        <f t="shared" si="147"/>
        <v>38.74</v>
      </c>
      <c r="E9416" s="11"/>
      <c r="F9416" s="9"/>
    </row>
    <row r="9417" s="1" customFormat="1" customHeight="1" spans="1:6">
      <c r="A9417" s="9" t="str">
        <f>"20030831502"</f>
        <v>20030831502</v>
      </c>
      <c r="B9417" s="10">
        <v>50.82</v>
      </c>
      <c r="C9417" s="9"/>
      <c r="D9417" s="9">
        <f t="shared" si="147"/>
        <v>50.82</v>
      </c>
      <c r="E9417" s="11"/>
      <c r="F9417" s="9"/>
    </row>
    <row r="9418" s="1" customFormat="1" customHeight="1" spans="1:6">
      <c r="A9418" s="9" t="str">
        <f>"20190831503"</f>
        <v>20190831503</v>
      </c>
      <c r="B9418" s="10">
        <v>53.41</v>
      </c>
      <c r="C9418" s="9"/>
      <c r="D9418" s="9">
        <f t="shared" si="147"/>
        <v>53.41</v>
      </c>
      <c r="E9418" s="11"/>
      <c r="F9418" s="9"/>
    </row>
    <row r="9419" s="1" customFormat="1" customHeight="1" spans="1:6">
      <c r="A9419" s="9" t="str">
        <f>"20100831504"</f>
        <v>20100831504</v>
      </c>
      <c r="B9419" s="10">
        <v>49.23</v>
      </c>
      <c r="C9419" s="9"/>
      <c r="D9419" s="9">
        <f t="shared" si="147"/>
        <v>49.23</v>
      </c>
      <c r="E9419" s="11"/>
      <c r="F9419" s="9"/>
    </row>
    <row r="9420" s="1" customFormat="1" customHeight="1" spans="1:6">
      <c r="A9420" s="9" t="str">
        <f>"20130831505"</f>
        <v>20130831505</v>
      </c>
      <c r="B9420" s="10">
        <v>56.61</v>
      </c>
      <c r="C9420" s="9"/>
      <c r="D9420" s="9">
        <f t="shared" si="147"/>
        <v>56.61</v>
      </c>
      <c r="E9420" s="11"/>
      <c r="F9420" s="9"/>
    </row>
    <row r="9421" s="1" customFormat="1" customHeight="1" spans="1:6">
      <c r="A9421" s="9" t="str">
        <f>"20190831506"</f>
        <v>20190831506</v>
      </c>
      <c r="B9421" s="10">
        <v>41.01</v>
      </c>
      <c r="C9421" s="9"/>
      <c r="D9421" s="9">
        <f t="shared" si="147"/>
        <v>41.01</v>
      </c>
      <c r="E9421" s="11"/>
      <c r="F9421" s="9"/>
    </row>
    <row r="9422" s="1" customFormat="1" customHeight="1" spans="1:6">
      <c r="A9422" s="9" t="str">
        <f>"20020831507"</f>
        <v>20020831507</v>
      </c>
      <c r="B9422" s="10">
        <v>0</v>
      </c>
      <c r="C9422" s="9"/>
      <c r="D9422" s="9">
        <f t="shared" si="147"/>
        <v>0</v>
      </c>
      <c r="E9422" s="11"/>
      <c r="F9422" s="9" t="s">
        <v>7</v>
      </c>
    </row>
    <row r="9423" s="1" customFormat="1" customHeight="1" spans="1:6">
      <c r="A9423" s="9" t="str">
        <f>"20020831508"</f>
        <v>20020831508</v>
      </c>
      <c r="B9423" s="10">
        <v>51.21</v>
      </c>
      <c r="C9423" s="9"/>
      <c r="D9423" s="9">
        <f t="shared" si="147"/>
        <v>51.21</v>
      </c>
      <c r="E9423" s="11"/>
      <c r="F9423" s="9"/>
    </row>
    <row r="9424" s="1" customFormat="1" customHeight="1" spans="1:6">
      <c r="A9424" s="9" t="str">
        <f>"20020831509"</f>
        <v>20020831509</v>
      </c>
      <c r="B9424" s="10">
        <v>51.04</v>
      </c>
      <c r="C9424" s="9"/>
      <c r="D9424" s="9">
        <f t="shared" si="147"/>
        <v>51.04</v>
      </c>
      <c r="E9424" s="11"/>
      <c r="F9424" s="9"/>
    </row>
    <row r="9425" s="1" customFormat="1" customHeight="1" spans="1:6">
      <c r="A9425" s="9" t="str">
        <f>"20020831510"</f>
        <v>20020831510</v>
      </c>
      <c r="B9425" s="10">
        <v>58.38</v>
      </c>
      <c r="C9425" s="9"/>
      <c r="D9425" s="9">
        <f t="shared" si="147"/>
        <v>58.38</v>
      </c>
      <c r="E9425" s="11"/>
      <c r="F9425" s="9"/>
    </row>
    <row r="9426" s="1" customFormat="1" customHeight="1" spans="1:6">
      <c r="A9426" s="9" t="str">
        <f>"20190831511"</f>
        <v>20190831511</v>
      </c>
      <c r="B9426" s="10">
        <v>47.45</v>
      </c>
      <c r="C9426" s="9"/>
      <c r="D9426" s="9">
        <f t="shared" si="147"/>
        <v>47.45</v>
      </c>
      <c r="E9426" s="11"/>
      <c r="F9426" s="9"/>
    </row>
    <row r="9427" s="1" customFormat="1" customHeight="1" spans="1:6">
      <c r="A9427" s="9" t="str">
        <f>"20030831512"</f>
        <v>20030831512</v>
      </c>
      <c r="B9427" s="10">
        <v>0</v>
      </c>
      <c r="C9427" s="9"/>
      <c r="D9427" s="9">
        <f t="shared" si="147"/>
        <v>0</v>
      </c>
      <c r="E9427" s="11"/>
      <c r="F9427" s="9" t="s">
        <v>7</v>
      </c>
    </row>
    <row r="9428" s="1" customFormat="1" customHeight="1" spans="1:6">
      <c r="A9428" s="9" t="str">
        <f>"20020831513"</f>
        <v>20020831513</v>
      </c>
      <c r="B9428" s="10">
        <v>53.04</v>
      </c>
      <c r="C9428" s="9"/>
      <c r="D9428" s="9">
        <f t="shared" si="147"/>
        <v>53.04</v>
      </c>
      <c r="E9428" s="11"/>
      <c r="F9428" s="9"/>
    </row>
    <row r="9429" s="1" customFormat="1" customHeight="1" spans="1:6">
      <c r="A9429" s="9" t="str">
        <f>"20190831514"</f>
        <v>20190831514</v>
      </c>
      <c r="B9429" s="10">
        <v>40.13</v>
      </c>
      <c r="C9429" s="9"/>
      <c r="D9429" s="9">
        <f t="shared" si="147"/>
        <v>40.13</v>
      </c>
      <c r="E9429" s="11"/>
      <c r="F9429" s="9"/>
    </row>
    <row r="9430" s="1" customFormat="1" customHeight="1" spans="1:6">
      <c r="A9430" s="9" t="str">
        <f>"20190831515"</f>
        <v>20190831515</v>
      </c>
      <c r="B9430" s="10">
        <v>52.35</v>
      </c>
      <c r="C9430" s="9"/>
      <c r="D9430" s="9">
        <f t="shared" si="147"/>
        <v>52.35</v>
      </c>
      <c r="E9430" s="11"/>
      <c r="F9430" s="9"/>
    </row>
    <row r="9431" s="1" customFormat="1" customHeight="1" spans="1:6">
      <c r="A9431" s="9" t="str">
        <f>"20190831516"</f>
        <v>20190831516</v>
      </c>
      <c r="B9431" s="10">
        <v>42.13</v>
      </c>
      <c r="C9431" s="9"/>
      <c r="D9431" s="9">
        <f t="shared" si="147"/>
        <v>42.13</v>
      </c>
      <c r="E9431" s="11"/>
      <c r="F9431" s="9"/>
    </row>
    <row r="9432" s="1" customFormat="1" customHeight="1" spans="1:6">
      <c r="A9432" s="9" t="str">
        <f>"20220831517"</f>
        <v>20220831517</v>
      </c>
      <c r="B9432" s="10">
        <v>51.1</v>
      </c>
      <c r="C9432" s="9"/>
      <c r="D9432" s="9">
        <f t="shared" si="147"/>
        <v>51.1</v>
      </c>
      <c r="E9432" s="11"/>
      <c r="F9432" s="9"/>
    </row>
    <row r="9433" s="1" customFormat="1" customHeight="1" spans="1:6">
      <c r="A9433" s="9" t="str">
        <f>"20020831518"</f>
        <v>20020831518</v>
      </c>
      <c r="B9433" s="10">
        <v>54.42</v>
      </c>
      <c r="C9433" s="9"/>
      <c r="D9433" s="9">
        <f t="shared" si="147"/>
        <v>54.42</v>
      </c>
      <c r="E9433" s="11"/>
      <c r="F9433" s="9"/>
    </row>
    <row r="9434" s="1" customFormat="1" customHeight="1" spans="1:6">
      <c r="A9434" s="9" t="str">
        <f>"20030831519"</f>
        <v>20030831519</v>
      </c>
      <c r="B9434" s="10">
        <v>47.24</v>
      </c>
      <c r="C9434" s="9"/>
      <c r="D9434" s="9">
        <f t="shared" si="147"/>
        <v>47.24</v>
      </c>
      <c r="E9434" s="11"/>
      <c r="F9434" s="9"/>
    </row>
    <row r="9435" s="1" customFormat="1" customHeight="1" spans="1:6">
      <c r="A9435" s="9" t="str">
        <f>"20190831520"</f>
        <v>20190831520</v>
      </c>
      <c r="B9435" s="10">
        <v>52.27</v>
      </c>
      <c r="C9435" s="9"/>
      <c r="D9435" s="9">
        <f t="shared" si="147"/>
        <v>52.27</v>
      </c>
      <c r="E9435" s="11"/>
      <c r="F9435" s="9"/>
    </row>
    <row r="9436" s="1" customFormat="1" customHeight="1" spans="1:6">
      <c r="A9436" s="9" t="str">
        <f>"20200831521"</f>
        <v>20200831521</v>
      </c>
      <c r="B9436" s="10">
        <v>0</v>
      </c>
      <c r="C9436" s="9"/>
      <c r="D9436" s="9">
        <f t="shared" si="147"/>
        <v>0</v>
      </c>
      <c r="E9436" s="11"/>
      <c r="F9436" s="9" t="s">
        <v>7</v>
      </c>
    </row>
    <row r="9437" s="1" customFormat="1" customHeight="1" spans="1:6">
      <c r="A9437" s="9" t="str">
        <f>"20210831522"</f>
        <v>20210831522</v>
      </c>
      <c r="B9437" s="10">
        <v>61.82</v>
      </c>
      <c r="C9437" s="9"/>
      <c r="D9437" s="9">
        <f t="shared" si="147"/>
        <v>61.82</v>
      </c>
      <c r="E9437" s="11"/>
      <c r="F9437" s="9"/>
    </row>
    <row r="9438" s="1" customFormat="1" customHeight="1" spans="1:6">
      <c r="A9438" s="9" t="str">
        <f>"20190831523"</f>
        <v>20190831523</v>
      </c>
      <c r="B9438" s="10">
        <v>54.54</v>
      </c>
      <c r="C9438" s="9"/>
      <c r="D9438" s="9">
        <f t="shared" si="147"/>
        <v>54.54</v>
      </c>
      <c r="E9438" s="11"/>
      <c r="F9438" s="9"/>
    </row>
    <row r="9439" s="1" customFormat="1" customHeight="1" spans="1:6">
      <c r="A9439" s="9" t="str">
        <f>"20020831524"</f>
        <v>20020831524</v>
      </c>
      <c r="B9439" s="10">
        <v>44.3</v>
      </c>
      <c r="C9439" s="9"/>
      <c r="D9439" s="9">
        <f t="shared" si="147"/>
        <v>44.3</v>
      </c>
      <c r="E9439" s="11"/>
      <c r="F9439" s="9"/>
    </row>
    <row r="9440" s="1" customFormat="1" customHeight="1" spans="1:6">
      <c r="A9440" s="9" t="str">
        <f>"20070831525"</f>
        <v>20070831525</v>
      </c>
      <c r="B9440" s="10">
        <v>0</v>
      </c>
      <c r="C9440" s="9"/>
      <c r="D9440" s="9">
        <f t="shared" si="147"/>
        <v>0</v>
      </c>
      <c r="E9440" s="11"/>
      <c r="F9440" s="9" t="s">
        <v>7</v>
      </c>
    </row>
    <row r="9441" s="1" customFormat="1" customHeight="1" spans="1:6">
      <c r="A9441" s="9" t="str">
        <f>"10250831526"</f>
        <v>10250831526</v>
      </c>
      <c r="B9441" s="10">
        <v>0</v>
      </c>
      <c r="C9441" s="9"/>
      <c r="D9441" s="9">
        <f t="shared" si="147"/>
        <v>0</v>
      </c>
      <c r="E9441" s="11"/>
      <c r="F9441" s="9" t="s">
        <v>7</v>
      </c>
    </row>
    <row r="9442" s="1" customFormat="1" customHeight="1" spans="1:6">
      <c r="A9442" s="9" t="str">
        <f>"20020831527"</f>
        <v>20020831527</v>
      </c>
      <c r="B9442" s="10">
        <v>52.81</v>
      </c>
      <c r="C9442" s="9"/>
      <c r="D9442" s="9">
        <f t="shared" si="147"/>
        <v>52.81</v>
      </c>
      <c r="E9442" s="11"/>
      <c r="F9442" s="9"/>
    </row>
    <row r="9443" s="1" customFormat="1" customHeight="1" spans="1:6">
      <c r="A9443" s="9" t="str">
        <f>"20100831528"</f>
        <v>20100831528</v>
      </c>
      <c r="B9443" s="10">
        <v>53.77</v>
      </c>
      <c r="C9443" s="9"/>
      <c r="D9443" s="9">
        <f t="shared" si="147"/>
        <v>53.77</v>
      </c>
      <c r="E9443" s="11"/>
      <c r="F9443" s="9"/>
    </row>
    <row r="9444" s="1" customFormat="1" customHeight="1" spans="1:6">
      <c r="A9444" s="9" t="str">
        <f>"20190831529"</f>
        <v>20190831529</v>
      </c>
      <c r="B9444" s="10">
        <v>59.4</v>
      </c>
      <c r="C9444" s="9"/>
      <c r="D9444" s="9">
        <f t="shared" si="147"/>
        <v>59.4</v>
      </c>
      <c r="E9444" s="11"/>
      <c r="F9444" s="9"/>
    </row>
    <row r="9445" s="1" customFormat="1" customHeight="1" spans="1:6">
      <c r="A9445" s="9" t="str">
        <f>"20230831530"</f>
        <v>20230831530</v>
      </c>
      <c r="B9445" s="10">
        <v>54.81</v>
      </c>
      <c r="C9445" s="9"/>
      <c r="D9445" s="9">
        <f t="shared" si="147"/>
        <v>54.81</v>
      </c>
      <c r="E9445" s="11"/>
      <c r="F9445" s="9"/>
    </row>
    <row r="9446" s="1" customFormat="1" customHeight="1" spans="1:6">
      <c r="A9446" s="9" t="str">
        <f>"20140831601"</f>
        <v>20140831601</v>
      </c>
      <c r="B9446" s="10">
        <v>55.21</v>
      </c>
      <c r="C9446" s="9"/>
      <c r="D9446" s="9">
        <f t="shared" si="147"/>
        <v>55.21</v>
      </c>
      <c r="E9446" s="11"/>
      <c r="F9446" s="9"/>
    </row>
    <row r="9447" s="1" customFormat="1" customHeight="1" spans="1:6">
      <c r="A9447" s="9" t="str">
        <f>"20190831602"</f>
        <v>20190831602</v>
      </c>
      <c r="B9447" s="10">
        <v>43.07</v>
      </c>
      <c r="C9447" s="9"/>
      <c r="D9447" s="9">
        <f t="shared" si="147"/>
        <v>43.07</v>
      </c>
      <c r="E9447" s="11"/>
      <c r="F9447" s="9"/>
    </row>
    <row r="9448" s="1" customFormat="1" customHeight="1" spans="1:6">
      <c r="A9448" s="9" t="str">
        <f>"20190831603"</f>
        <v>20190831603</v>
      </c>
      <c r="B9448" s="10">
        <v>66.07</v>
      </c>
      <c r="C9448" s="9"/>
      <c r="D9448" s="9">
        <f t="shared" si="147"/>
        <v>66.07</v>
      </c>
      <c r="E9448" s="11"/>
      <c r="F9448" s="9"/>
    </row>
    <row r="9449" s="1" customFormat="1" customHeight="1" spans="1:6">
      <c r="A9449" s="9" t="str">
        <f>"20190831604"</f>
        <v>20190831604</v>
      </c>
      <c r="B9449" s="10">
        <v>0</v>
      </c>
      <c r="C9449" s="9"/>
      <c r="D9449" s="9">
        <f t="shared" si="147"/>
        <v>0</v>
      </c>
      <c r="E9449" s="11"/>
      <c r="F9449" s="9" t="s">
        <v>7</v>
      </c>
    </row>
    <row r="9450" s="1" customFormat="1" customHeight="1" spans="1:6">
      <c r="A9450" s="9" t="str">
        <f>"20020831605"</f>
        <v>20020831605</v>
      </c>
      <c r="B9450" s="10">
        <v>50.41</v>
      </c>
      <c r="C9450" s="9"/>
      <c r="D9450" s="9">
        <f t="shared" si="147"/>
        <v>50.41</v>
      </c>
      <c r="E9450" s="11"/>
      <c r="F9450" s="9"/>
    </row>
    <row r="9451" s="1" customFormat="1" customHeight="1" spans="1:6">
      <c r="A9451" s="9" t="str">
        <f>"20190831606"</f>
        <v>20190831606</v>
      </c>
      <c r="B9451" s="10">
        <v>0</v>
      </c>
      <c r="C9451" s="9"/>
      <c r="D9451" s="9">
        <f t="shared" si="147"/>
        <v>0</v>
      </c>
      <c r="E9451" s="11"/>
      <c r="F9451" s="9" t="s">
        <v>7</v>
      </c>
    </row>
    <row r="9452" s="1" customFormat="1" customHeight="1" spans="1:6">
      <c r="A9452" s="9" t="str">
        <f>"20190831607"</f>
        <v>20190831607</v>
      </c>
      <c r="B9452" s="10">
        <v>0</v>
      </c>
      <c r="C9452" s="9"/>
      <c r="D9452" s="9">
        <f t="shared" si="147"/>
        <v>0</v>
      </c>
      <c r="E9452" s="11"/>
      <c r="F9452" s="9" t="s">
        <v>7</v>
      </c>
    </row>
    <row r="9453" s="1" customFormat="1" customHeight="1" spans="1:6">
      <c r="A9453" s="9" t="str">
        <f>"20020831608"</f>
        <v>20020831608</v>
      </c>
      <c r="B9453" s="10">
        <v>51.08</v>
      </c>
      <c r="C9453" s="9"/>
      <c r="D9453" s="9">
        <f t="shared" si="147"/>
        <v>51.08</v>
      </c>
      <c r="E9453" s="11"/>
      <c r="F9453" s="9"/>
    </row>
    <row r="9454" s="1" customFormat="1" customHeight="1" spans="1:6">
      <c r="A9454" s="9" t="str">
        <f>"20250831609"</f>
        <v>20250831609</v>
      </c>
      <c r="B9454" s="10">
        <v>51.77</v>
      </c>
      <c r="C9454" s="9"/>
      <c r="D9454" s="9">
        <f t="shared" si="147"/>
        <v>51.77</v>
      </c>
      <c r="E9454" s="11"/>
      <c r="F9454" s="9"/>
    </row>
    <row r="9455" s="1" customFormat="1" customHeight="1" spans="1:6">
      <c r="A9455" s="9" t="str">
        <f>"20190831610"</f>
        <v>20190831610</v>
      </c>
      <c r="B9455" s="10">
        <v>64.64</v>
      </c>
      <c r="C9455" s="9"/>
      <c r="D9455" s="9">
        <f t="shared" si="147"/>
        <v>64.64</v>
      </c>
      <c r="E9455" s="11"/>
      <c r="F9455" s="9"/>
    </row>
    <row r="9456" s="1" customFormat="1" customHeight="1" spans="1:6">
      <c r="A9456" s="9" t="str">
        <f>"20100831611"</f>
        <v>20100831611</v>
      </c>
      <c r="B9456" s="10">
        <v>60.4</v>
      </c>
      <c r="C9456" s="9"/>
      <c r="D9456" s="9">
        <f t="shared" si="147"/>
        <v>60.4</v>
      </c>
      <c r="E9456" s="11"/>
      <c r="F9456" s="9"/>
    </row>
    <row r="9457" s="1" customFormat="1" customHeight="1" spans="1:6">
      <c r="A9457" s="9" t="str">
        <f>"20190831612"</f>
        <v>20190831612</v>
      </c>
      <c r="B9457" s="10">
        <v>47.11</v>
      </c>
      <c r="C9457" s="9"/>
      <c r="D9457" s="9">
        <f t="shared" si="147"/>
        <v>47.11</v>
      </c>
      <c r="E9457" s="11"/>
      <c r="F9457" s="9"/>
    </row>
    <row r="9458" s="1" customFormat="1" customHeight="1" spans="1:6">
      <c r="A9458" s="9" t="str">
        <f>"20250831613"</f>
        <v>20250831613</v>
      </c>
      <c r="B9458" s="10">
        <v>49.75</v>
      </c>
      <c r="C9458" s="9"/>
      <c r="D9458" s="9">
        <f t="shared" si="147"/>
        <v>49.75</v>
      </c>
      <c r="E9458" s="11"/>
      <c r="F9458" s="9"/>
    </row>
    <row r="9459" s="1" customFormat="1" customHeight="1" spans="1:6">
      <c r="A9459" s="9" t="str">
        <f>"20130831614"</f>
        <v>20130831614</v>
      </c>
      <c r="B9459" s="10">
        <v>50.33</v>
      </c>
      <c r="C9459" s="9"/>
      <c r="D9459" s="9">
        <f t="shared" si="147"/>
        <v>50.33</v>
      </c>
      <c r="E9459" s="11"/>
      <c r="F9459" s="9"/>
    </row>
    <row r="9460" s="1" customFormat="1" customHeight="1" spans="1:6">
      <c r="A9460" s="9" t="str">
        <f>"20200831615"</f>
        <v>20200831615</v>
      </c>
      <c r="B9460" s="10">
        <v>46.08</v>
      </c>
      <c r="C9460" s="9"/>
      <c r="D9460" s="9">
        <f t="shared" si="147"/>
        <v>46.08</v>
      </c>
      <c r="E9460" s="11"/>
      <c r="F9460" s="9"/>
    </row>
    <row r="9461" s="1" customFormat="1" customHeight="1" spans="1:6">
      <c r="A9461" s="9" t="str">
        <f>"20220831616"</f>
        <v>20220831616</v>
      </c>
      <c r="B9461" s="10">
        <v>47.76</v>
      </c>
      <c r="C9461" s="9"/>
      <c r="D9461" s="9">
        <f t="shared" si="147"/>
        <v>47.76</v>
      </c>
      <c r="E9461" s="11"/>
      <c r="F9461" s="9"/>
    </row>
    <row r="9462" s="1" customFormat="1" customHeight="1" spans="1:6">
      <c r="A9462" s="9" t="str">
        <f>"20020831617"</f>
        <v>20020831617</v>
      </c>
      <c r="B9462" s="10">
        <v>43.16</v>
      </c>
      <c r="C9462" s="9"/>
      <c r="D9462" s="9">
        <f t="shared" si="147"/>
        <v>43.16</v>
      </c>
      <c r="E9462" s="11"/>
      <c r="F9462" s="9"/>
    </row>
    <row r="9463" s="1" customFormat="1" customHeight="1" spans="1:6">
      <c r="A9463" s="9" t="str">
        <f>"20020831618"</f>
        <v>20020831618</v>
      </c>
      <c r="B9463" s="10">
        <v>54.46</v>
      </c>
      <c r="C9463" s="9"/>
      <c r="D9463" s="9">
        <f t="shared" si="147"/>
        <v>54.46</v>
      </c>
      <c r="E9463" s="11"/>
      <c r="F9463" s="9"/>
    </row>
    <row r="9464" s="1" customFormat="1" customHeight="1" spans="1:6">
      <c r="A9464" s="9" t="str">
        <f>"10250831619"</f>
        <v>10250831619</v>
      </c>
      <c r="B9464" s="10">
        <v>49.83</v>
      </c>
      <c r="C9464" s="9"/>
      <c r="D9464" s="9">
        <f t="shared" si="147"/>
        <v>49.83</v>
      </c>
      <c r="E9464" s="11"/>
      <c r="F9464" s="9"/>
    </row>
    <row r="9465" s="1" customFormat="1" customHeight="1" spans="1:6">
      <c r="A9465" s="9" t="str">
        <f>"20200831620"</f>
        <v>20200831620</v>
      </c>
      <c r="B9465" s="10">
        <v>53.63</v>
      </c>
      <c r="C9465" s="9"/>
      <c r="D9465" s="9">
        <f t="shared" si="147"/>
        <v>53.63</v>
      </c>
      <c r="E9465" s="11"/>
      <c r="F9465" s="9"/>
    </row>
    <row r="9466" s="1" customFormat="1" customHeight="1" spans="1:6">
      <c r="A9466" s="9" t="str">
        <f>"20200831621"</f>
        <v>20200831621</v>
      </c>
      <c r="B9466" s="10">
        <v>0</v>
      </c>
      <c r="C9466" s="9"/>
      <c r="D9466" s="9">
        <f t="shared" si="147"/>
        <v>0</v>
      </c>
      <c r="E9466" s="11"/>
      <c r="F9466" s="9" t="s">
        <v>7</v>
      </c>
    </row>
    <row r="9467" s="1" customFormat="1" customHeight="1" spans="1:6">
      <c r="A9467" s="9" t="str">
        <f>"10250831622"</f>
        <v>10250831622</v>
      </c>
      <c r="B9467" s="10">
        <v>0</v>
      </c>
      <c r="C9467" s="9"/>
      <c r="D9467" s="9">
        <f t="shared" si="147"/>
        <v>0</v>
      </c>
      <c r="E9467" s="11"/>
      <c r="F9467" s="9" t="s">
        <v>7</v>
      </c>
    </row>
    <row r="9468" s="1" customFormat="1" customHeight="1" spans="1:6">
      <c r="A9468" s="9" t="str">
        <f>"20190831623"</f>
        <v>20190831623</v>
      </c>
      <c r="B9468" s="10">
        <v>33.37</v>
      </c>
      <c r="C9468" s="9"/>
      <c r="D9468" s="9">
        <f t="shared" si="147"/>
        <v>33.37</v>
      </c>
      <c r="E9468" s="11"/>
      <c r="F9468" s="9"/>
    </row>
    <row r="9469" s="1" customFormat="1" customHeight="1" spans="1:6">
      <c r="A9469" s="9" t="str">
        <f>"20210831624"</f>
        <v>20210831624</v>
      </c>
      <c r="B9469" s="10">
        <v>52.06</v>
      </c>
      <c r="C9469" s="9"/>
      <c r="D9469" s="9">
        <f t="shared" si="147"/>
        <v>52.06</v>
      </c>
      <c r="E9469" s="11"/>
      <c r="F9469" s="9"/>
    </row>
    <row r="9470" s="1" customFormat="1" customHeight="1" spans="1:6">
      <c r="A9470" s="9" t="str">
        <f>"20190831625"</f>
        <v>20190831625</v>
      </c>
      <c r="B9470" s="10">
        <v>42.61</v>
      </c>
      <c r="C9470" s="9"/>
      <c r="D9470" s="9">
        <f t="shared" si="147"/>
        <v>42.61</v>
      </c>
      <c r="E9470" s="11"/>
      <c r="F9470" s="9"/>
    </row>
    <row r="9471" s="1" customFormat="1" customHeight="1" spans="1:6">
      <c r="A9471" s="9" t="str">
        <f>"20240831626"</f>
        <v>20240831626</v>
      </c>
      <c r="B9471" s="10">
        <v>45.79</v>
      </c>
      <c r="C9471" s="9"/>
      <c r="D9471" s="9">
        <f t="shared" si="147"/>
        <v>45.79</v>
      </c>
      <c r="E9471" s="11"/>
      <c r="F9471" s="9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2024-11-19T12:57:27Z</dcterms:created>
  <dcterms:modified xsi:type="dcterms:W3CDTF">2024-11-19T13:24:30Z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BC66919FDA3D400DA45D91D83169732A_11</vt:lpwstr>
  </property>
  <property fmtid="{D5CDD505-2E9C-101B-9397-08002B2CF9AE}" pid="3" name="KSOProductBuildVer">
    <vt:lpwstr>2052-12.1.0.18608</vt:lpwstr>
  </property>
</Properties>
</file>